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7235" windowHeight="25845" activeTab="2"/>
  </bookViews>
  <sheets>
    <sheet name="Soils" sheetId="1" r:id="rId1"/>
    <sheet name="Vegetation" sheetId="2" r:id="rId2"/>
    <sheet name="Roads" sheetId="3" r:id="rId3"/>
    <sheet name="TimberHarvest - Method" sheetId="4" r:id="rId4"/>
    <sheet name="TimberHarvest - Year" sheetId="5" r:id="rId5"/>
    <sheet name="Ownership" sheetId="6" r:id="rId6"/>
    <sheet name="LandUse" sheetId="7" r:id="rId7"/>
    <sheet name="Fire Threat" sheetId="8" r:id="rId8"/>
    <sheet name="Fire History" sheetId="9" r:id="rId9"/>
  </sheets>
  <calcPr calcId="145621"/>
</workbook>
</file>

<file path=xl/calcChain.xml><?xml version="1.0" encoding="utf-8"?>
<calcChain xmlns="http://schemas.openxmlformats.org/spreadsheetml/2006/main">
  <c r="C15" i="3" l="1"/>
  <c r="D15" i="3"/>
  <c r="E15" i="3"/>
  <c r="B15" i="3"/>
  <c r="E4" i="3" l="1"/>
  <c r="E5" i="3"/>
  <c r="E6" i="3"/>
  <c r="E7" i="3"/>
  <c r="E8" i="3"/>
  <c r="E9" i="3"/>
  <c r="E10" i="3"/>
  <c r="E11" i="3"/>
  <c r="E12" i="3"/>
  <c r="E13" i="3"/>
  <c r="E14" i="3"/>
  <c r="E3" i="3"/>
  <c r="K66" i="2" l="1"/>
  <c r="K67" i="2"/>
  <c r="K68" i="2"/>
  <c r="K69" i="2"/>
  <c r="K70" i="2"/>
  <c r="K71" i="2"/>
  <c r="K72" i="2"/>
  <c r="K73" i="2"/>
  <c r="K74" i="2"/>
  <c r="K75" i="2"/>
  <c r="K65" i="2"/>
  <c r="I66" i="2"/>
  <c r="I67" i="2"/>
  <c r="I68" i="2"/>
  <c r="I69" i="2"/>
  <c r="I70" i="2"/>
  <c r="I71" i="2"/>
  <c r="I72" i="2"/>
  <c r="I73" i="2"/>
  <c r="I74" i="2"/>
  <c r="I75" i="2"/>
  <c r="I65" i="2"/>
  <c r="G66" i="2"/>
  <c r="G67" i="2"/>
  <c r="G68" i="2"/>
  <c r="G69" i="2"/>
  <c r="G70" i="2"/>
  <c r="G71" i="2"/>
  <c r="G72" i="2"/>
  <c r="G73" i="2"/>
  <c r="G74" i="2"/>
  <c r="G75" i="2"/>
  <c r="G65" i="2"/>
  <c r="K62" i="2"/>
  <c r="K63" i="2"/>
  <c r="K61" i="2"/>
  <c r="I62" i="2"/>
  <c r="I63" i="2"/>
  <c r="I61" i="2"/>
  <c r="G62" i="2"/>
  <c r="G63" i="2"/>
  <c r="G61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46" i="2"/>
  <c r="E46" i="2"/>
  <c r="K40" i="2"/>
  <c r="K41" i="2"/>
  <c r="K42" i="2"/>
  <c r="K43" i="2"/>
  <c r="K44" i="2"/>
  <c r="K45" i="2"/>
  <c r="K39" i="2"/>
  <c r="I40" i="2"/>
  <c r="I41" i="2"/>
  <c r="I42" i="2"/>
  <c r="I43" i="2"/>
  <c r="I44" i="2"/>
  <c r="I45" i="2"/>
  <c r="I39" i="2"/>
  <c r="G40" i="2"/>
  <c r="G41" i="2"/>
  <c r="G42" i="2"/>
  <c r="G43" i="2"/>
  <c r="G44" i="2"/>
  <c r="G45" i="2"/>
  <c r="G39" i="2"/>
  <c r="K36" i="2"/>
  <c r="K37" i="2"/>
  <c r="K38" i="2"/>
  <c r="K35" i="2"/>
  <c r="I36" i="2"/>
  <c r="I37" i="2"/>
  <c r="I38" i="2"/>
  <c r="I35" i="2"/>
  <c r="G36" i="2"/>
  <c r="G37" i="2"/>
  <c r="G38" i="2"/>
  <c r="G35" i="2"/>
  <c r="K24" i="2"/>
  <c r="K25" i="2"/>
  <c r="K26" i="2"/>
  <c r="K27" i="2"/>
  <c r="K28" i="2"/>
  <c r="K29" i="2"/>
  <c r="K30" i="2"/>
  <c r="K31" i="2"/>
  <c r="K32" i="2"/>
  <c r="K33" i="2"/>
  <c r="K23" i="2"/>
  <c r="G24" i="2"/>
  <c r="G25" i="2"/>
  <c r="G26" i="2"/>
  <c r="G27" i="2"/>
  <c r="G28" i="2"/>
  <c r="G29" i="2"/>
  <c r="G30" i="2"/>
  <c r="G31" i="2"/>
  <c r="G32" i="2"/>
  <c r="G33" i="2"/>
  <c r="I24" i="2"/>
  <c r="I25" i="2"/>
  <c r="I26" i="2"/>
  <c r="I27" i="2"/>
  <c r="I28" i="2"/>
  <c r="I29" i="2"/>
  <c r="I30" i="2"/>
  <c r="I31" i="2"/>
  <c r="I32" i="2"/>
  <c r="I33" i="2"/>
  <c r="I23" i="2"/>
  <c r="G23" i="2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23" i="2"/>
  <c r="E23" i="2" s="1"/>
  <c r="E11" i="2" l="1"/>
  <c r="J16" i="1"/>
  <c r="J17" i="1"/>
  <c r="H17" i="1"/>
  <c r="F17" i="1"/>
  <c r="D17" i="1"/>
  <c r="I4" i="9" l="1"/>
  <c r="I5" i="9"/>
  <c r="I6" i="9"/>
  <c r="I7" i="9"/>
  <c r="I3" i="9"/>
  <c r="G4" i="9"/>
  <c r="G5" i="9"/>
  <c r="G6" i="9"/>
  <c r="G7" i="9"/>
  <c r="G3" i="9"/>
  <c r="E4" i="9"/>
  <c r="E5" i="9"/>
  <c r="E6" i="9"/>
  <c r="E7" i="9"/>
  <c r="E3" i="9"/>
  <c r="C4" i="9"/>
  <c r="C5" i="9"/>
  <c r="C6" i="9"/>
  <c r="C7" i="9"/>
  <c r="C3" i="9"/>
  <c r="H7" i="9"/>
  <c r="F7" i="9"/>
  <c r="D7" i="9"/>
  <c r="B7" i="9"/>
  <c r="B4" i="9"/>
  <c r="B5" i="9"/>
  <c r="B6" i="9"/>
  <c r="B3" i="9"/>
  <c r="I4" i="8" l="1"/>
  <c r="I5" i="8"/>
  <c r="I6" i="8"/>
  <c r="I7" i="8"/>
  <c r="H8" i="8"/>
  <c r="I8" i="8" s="1"/>
  <c r="I3" i="8"/>
  <c r="G4" i="8"/>
  <c r="G5" i="8"/>
  <c r="G6" i="8"/>
  <c r="G7" i="8"/>
  <c r="F8" i="8"/>
  <c r="G8" i="8" s="1"/>
  <c r="G3" i="8"/>
  <c r="E4" i="8"/>
  <c r="E5" i="8"/>
  <c r="E6" i="8"/>
  <c r="E7" i="8"/>
  <c r="D8" i="8"/>
  <c r="E8" i="8" s="1"/>
  <c r="E3" i="8"/>
  <c r="C4" i="8"/>
  <c r="C7" i="8"/>
  <c r="B4" i="8"/>
  <c r="B5" i="8"/>
  <c r="C5" i="8" s="1"/>
  <c r="B6" i="8"/>
  <c r="C6" i="8" s="1"/>
  <c r="B7" i="8"/>
  <c r="B3" i="8"/>
  <c r="C3" i="8" s="1"/>
  <c r="G19" i="7"/>
  <c r="H19" i="7"/>
  <c r="I19" i="7" s="1"/>
  <c r="F19" i="7"/>
  <c r="D19" i="7"/>
  <c r="E19" i="7" s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3" i="7"/>
  <c r="C4" i="7"/>
  <c r="C5" i="7"/>
  <c r="C6" i="7"/>
  <c r="C7" i="7"/>
  <c r="C8" i="7"/>
  <c r="C9" i="7"/>
  <c r="C10" i="7"/>
  <c r="C11" i="7"/>
  <c r="C13" i="7"/>
  <c r="C15" i="7"/>
  <c r="C17" i="7"/>
  <c r="C18" i="7"/>
  <c r="C3" i="7"/>
  <c r="B4" i="7"/>
  <c r="B5" i="7"/>
  <c r="B6" i="7"/>
  <c r="B7" i="7"/>
  <c r="B8" i="7"/>
  <c r="B9" i="7"/>
  <c r="B10" i="7"/>
  <c r="B11" i="7"/>
  <c r="B12" i="7"/>
  <c r="C12" i="7" s="1"/>
  <c r="B13" i="7"/>
  <c r="B14" i="7"/>
  <c r="C14" i="7" s="1"/>
  <c r="B15" i="7"/>
  <c r="B16" i="7"/>
  <c r="B17" i="7"/>
  <c r="B18" i="7"/>
  <c r="B3" i="7"/>
  <c r="B19" i="7" l="1"/>
  <c r="C19" i="7" s="1"/>
  <c r="C16" i="7"/>
  <c r="B8" i="8"/>
  <c r="C8" i="8" s="1"/>
  <c r="H7" i="6"/>
  <c r="I7" i="6" s="1"/>
  <c r="F7" i="6"/>
  <c r="G7" i="6" s="1"/>
  <c r="D7" i="6"/>
  <c r="E7" i="6" s="1"/>
  <c r="I4" i="6"/>
  <c r="I5" i="6"/>
  <c r="I6" i="6"/>
  <c r="I3" i="6"/>
  <c r="G4" i="6"/>
  <c r="G5" i="6"/>
  <c r="G6" i="6"/>
  <c r="G3" i="6"/>
  <c r="E4" i="6"/>
  <c r="E5" i="6"/>
  <c r="E6" i="6"/>
  <c r="E3" i="6"/>
  <c r="B4" i="6"/>
  <c r="C4" i="6" s="1"/>
  <c r="B5" i="6"/>
  <c r="C5" i="6" s="1"/>
  <c r="B6" i="6"/>
  <c r="C6" i="6" s="1"/>
  <c r="B3" i="6"/>
  <c r="B7" i="6" l="1"/>
  <c r="C7" i="6" s="1"/>
  <c r="C3" i="6"/>
  <c r="I9" i="5"/>
  <c r="G9" i="5"/>
  <c r="E9" i="5"/>
  <c r="H9" i="5"/>
  <c r="F9" i="5"/>
  <c r="D9" i="5"/>
  <c r="B9" i="5"/>
  <c r="C9" i="5"/>
  <c r="C4" i="5"/>
  <c r="C5" i="5"/>
  <c r="C6" i="5"/>
  <c r="C7" i="5"/>
  <c r="C8" i="5"/>
  <c r="C3" i="5"/>
  <c r="B4" i="5"/>
  <c r="B5" i="5"/>
  <c r="B6" i="5"/>
  <c r="B7" i="5"/>
  <c r="B8" i="5"/>
  <c r="B3" i="5"/>
  <c r="I4" i="5"/>
  <c r="I5" i="5"/>
  <c r="I6" i="5"/>
  <c r="I7" i="5"/>
  <c r="I8" i="5"/>
  <c r="I3" i="5"/>
  <c r="G4" i="5"/>
  <c r="G5" i="5"/>
  <c r="G6" i="5"/>
  <c r="G7" i="5"/>
  <c r="G8" i="5"/>
  <c r="G3" i="5"/>
  <c r="E4" i="5"/>
  <c r="E5" i="5"/>
  <c r="E6" i="5"/>
  <c r="E7" i="5"/>
  <c r="E8" i="5"/>
  <c r="E3" i="5"/>
  <c r="I16" i="4" l="1"/>
  <c r="G16" i="4"/>
  <c r="E16" i="4"/>
  <c r="H16" i="4"/>
  <c r="F16" i="4"/>
  <c r="D16" i="4"/>
  <c r="B16" i="4"/>
  <c r="C16" i="4" s="1"/>
  <c r="C4" i="4"/>
  <c r="C5" i="4"/>
  <c r="C6" i="4"/>
  <c r="C7" i="4"/>
  <c r="C8" i="4"/>
  <c r="C9" i="4"/>
  <c r="C10" i="4"/>
  <c r="C11" i="4"/>
  <c r="C12" i="4"/>
  <c r="C13" i="4"/>
  <c r="C14" i="4"/>
  <c r="C15" i="4"/>
  <c r="C3" i="4"/>
  <c r="I4" i="4"/>
  <c r="I5" i="4"/>
  <c r="I6" i="4"/>
  <c r="I7" i="4"/>
  <c r="I8" i="4"/>
  <c r="I9" i="4"/>
  <c r="I10" i="4"/>
  <c r="I11" i="4"/>
  <c r="I12" i="4"/>
  <c r="I13" i="4"/>
  <c r="I14" i="4"/>
  <c r="I15" i="4"/>
  <c r="I3" i="4"/>
  <c r="G4" i="4"/>
  <c r="G5" i="4"/>
  <c r="G6" i="4"/>
  <c r="G7" i="4"/>
  <c r="G8" i="4"/>
  <c r="G9" i="4"/>
  <c r="G10" i="4"/>
  <c r="G11" i="4"/>
  <c r="G12" i="4"/>
  <c r="G13" i="4"/>
  <c r="G14" i="4"/>
  <c r="G15" i="4"/>
  <c r="G3" i="4"/>
  <c r="E4" i="4"/>
  <c r="E5" i="4"/>
  <c r="E6" i="4"/>
  <c r="E7" i="4"/>
  <c r="E8" i="4"/>
  <c r="E9" i="4"/>
  <c r="E10" i="4"/>
  <c r="E11" i="4"/>
  <c r="E12" i="4"/>
  <c r="E13" i="4"/>
  <c r="E14" i="4"/>
  <c r="E15" i="4"/>
  <c r="E3" i="4"/>
  <c r="B4" i="4"/>
  <c r="B5" i="4"/>
  <c r="B6" i="4"/>
  <c r="B7" i="4"/>
  <c r="B8" i="4"/>
  <c r="B9" i="4"/>
  <c r="B10" i="4"/>
  <c r="B11" i="4"/>
  <c r="B12" i="4"/>
  <c r="B13" i="4"/>
  <c r="B14" i="4"/>
  <c r="B15" i="4"/>
  <c r="B3" i="4"/>
  <c r="I4" i="2" l="1"/>
  <c r="I5" i="2"/>
  <c r="I6" i="2"/>
  <c r="I7" i="2"/>
  <c r="I8" i="2"/>
  <c r="I9" i="2"/>
  <c r="I10" i="2"/>
  <c r="I11" i="2"/>
  <c r="I3" i="2"/>
  <c r="G4" i="2"/>
  <c r="G5" i="2"/>
  <c r="G6" i="2"/>
  <c r="G7" i="2"/>
  <c r="G8" i="2"/>
  <c r="G9" i="2"/>
  <c r="G10" i="2"/>
  <c r="G11" i="2"/>
  <c r="G3" i="2"/>
  <c r="E4" i="2"/>
  <c r="E5" i="2"/>
  <c r="E6" i="2"/>
  <c r="E7" i="2"/>
  <c r="E8" i="2"/>
  <c r="E9" i="2"/>
  <c r="E10" i="2"/>
  <c r="E3" i="2"/>
  <c r="H12" i="2"/>
  <c r="I12" i="2" s="1"/>
  <c r="F12" i="2"/>
  <c r="G12" i="2" s="1"/>
  <c r="D12" i="2"/>
  <c r="E12" i="2" s="1"/>
  <c r="B4" i="2"/>
  <c r="B5" i="2"/>
  <c r="B6" i="2"/>
  <c r="B7" i="2"/>
  <c r="B8" i="2"/>
  <c r="B9" i="2"/>
  <c r="B10" i="2"/>
  <c r="B11" i="2"/>
  <c r="C11" i="2" s="1"/>
  <c r="B3" i="2"/>
  <c r="J4" i="1"/>
  <c r="J5" i="1"/>
  <c r="J6" i="1"/>
  <c r="J7" i="1"/>
  <c r="J8" i="1"/>
  <c r="J9" i="1"/>
  <c r="J10" i="1"/>
  <c r="J11" i="1"/>
  <c r="J12" i="1"/>
  <c r="J13" i="1"/>
  <c r="J14" i="1"/>
  <c r="J15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3" i="1"/>
  <c r="E17" i="1"/>
  <c r="G17" i="1"/>
  <c r="I17" i="1"/>
  <c r="C1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3" i="1"/>
  <c r="C10" i="2" l="1"/>
  <c r="B64" i="2"/>
  <c r="C6" i="2"/>
  <c r="B46" i="2"/>
  <c r="C9" i="2"/>
  <c r="B65" i="2"/>
  <c r="C5" i="2"/>
  <c r="B23" i="2"/>
  <c r="C8" i="2"/>
  <c r="B39" i="2"/>
  <c r="C4" i="2"/>
  <c r="B61" i="2"/>
  <c r="C3" i="2"/>
  <c r="B34" i="2"/>
  <c r="C7" i="2"/>
  <c r="B35" i="2"/>
  <c r="B12" i="2"/>
  <c r="C12" i="2" s="1"/>
</calcChain>
</file>

<file path=xl/sharedStrings.xml><?xml version="1.0" encoding="utf-8"?>
<sst xmlns="http://schemas.openxmlformats.org/spreadsheetml/2006/main" count="338" uniqueCount="176">
  <si>
    <t>s699</t>
  </si>
  <si>
    <t>s705</t>
  </si>
  <si>
    <t>s713</t>
  </si>
  <si>
    <t>s714</t>
  </si>
  <si>
    <t>s715</t>
  </si>
  <si>
    <t>s723</t>
  </si>
  <si>
    <t>s724</t>
  </si>
  <si>
    <t>s729</t>
  </si>
  <si>
    <t>s730</t>
  </si>
  <si>
    <t>s732</t>
  </si>
  <si>
    <t>s733</t>
  </si>
  <si>
    <t>s734</t>
  </si>
  <si>
    <t>s736</t>
  </si>
  <si>
    <t>s738</t>
  </si>
  <si>
    <t>Soil Series</t>
  </si>
  <si>
    <t xml:space="preserve">Cole </t>
  </si>
  <si>
    <t xml:space="preserve">Speaker-Sanhedrin-Kekawaka-Hopland </t>
  </si>
  <si>
    <t xml:space="preserve">Yokayo-Xerocrepts-Pinole-Arbuckle </t>
  </si>
  <si>
    <t xml:space="preserve">Dingman-Beaughton </t>
  </si>
  <si>
    <t xml:space="preserve">Tramway-Irmulco-Empire </t>
  </si>
  <si>
    <t xml:space="preserve">Walnett-Oragran-Jayel </t>
  </si>
  <si>
    <t>Neuns-Madonna-Kindig-Josephine-Hugo-Casabonne</t>
  </si>
  <si>
    <t xml:space="preserve">Slidecreek-Lacks-Coppercreek-Atwell </t>
  </si>
  <si>
    <t>Riverwash-Kerr-Bigriver</t>
  </si>
  <si>
    <t>Vandamme-Tramway-Irmulco-Hotel-Dehaven</t>
  </si>
  <si>
    <t xml:space="preserve">Zeni-Yellowhound-Ornbaun-Kibesillah </t>
  </si>
  <si>
    <t xml:space="preserve">Wohly-Holohan-Casabonne </t>
  </si>
  <si>
    <t xml:space="preserve">Yorkville-Yorktree-Witherell-Squawrock-Shortyork </t>
  </si>
  <si>
    <t xml:space="preserve">Yorktree-Vanvor-Mayacama-Gudgrey family </t>
  </si>
  <si>
    <t>sq. mi</t>
  </si>
  <si>
    <t>%</t>
  </si>
  <si>
    <t>South Fork Eel</t>
  </si>
  <si>
    <t>N. Subbassin</t>
  </si>
  <si>
    <t>E. Subbasin</t>
  </si>
  <si>
    <t>W. Subbasin</t>
  </si>
  <si>
    <t>Soil Code</t>
  </si>
  <si>
    <t>Agriculture</t>
  </si>
  <si>
    <t>Barren [Rock/Soil/Sand/Snow]</t>
  </si>
  <si>
    <t>Conifer forest/woodland</t>
  </si>
  <si>
    <t>Hardwood forest/woodland</t>
  </si>
  <si>
    <t>Mixed conifer and hardwood forest/woodland</t>
  </si>
  <si>
    <t>Shrub</t>
  </si>
  <si>
    <t>Urban</t>
  </si>
  <si>
    <t>Water</t>
  </si>
  <si>
    <t>Vegetation Cover Type (CALVEG)</t>
  </si>
  <si>
    <t>miles</t>
  </si>
  <si>
    <t>Primary Road</t>
  </si>
  <si>
    <t>Secondary Road</t>
  </si>
  <si>
    <t>Alternative Prescription</t>
  </si>
  <si>
    <t>Clearcut</t>
  </si>
  <si>
    <t>Commercial Thin</t>
  </si>
  <si>
    <t>Other</t>
  </si>
  <si>
    <t>Group Selection</t>
  </si>
  <si>
    <t>Rehabilitation - Understocked</t>
  </si>
  <si>
    <t>Road Right of Way</t>
  </si>
  <si>
    <t>Seed Tree Removal Cut</t>
  </si>
  <si>
    <t>Seed Tree Seed Cut</t>
  </si>
  <si>
    <t>Selection</t>
  </si>
  <si>
    <t>Shelterwood Removal Cut</t>
  </si>
  <si>
    <t>Transition</t>
  </si>
  <si>
    <t>Variable Retention</t>
  </si>
  <si>
    <t>South Fork Eel Watershed</t>
  </si>
  <si>
    <t>North Subbasin</t>
  </si>
  <si>
    <t>East Subbasin</t>
  </si>
  <si>
    <t>West Subbasin</t>
  </si>
  <si>
    <t>Area (sq. mi.)</t>
  </si>
  <si>
    <t>% of total area</t>
  </si>
  <si>
    <t>Total Area</t>
  </si>
  <si>
    <t>Silviculture Method (1991-2011)</t>
  </si>
  <si>
    <t>Harvest Year</t>
  </si>
  <si>
    <t>1995 - 1998</t>
  </si>
  <si>
    <t>1999 - 2001</t>
  </si>
  <si>
    <t>2002 - 2004</t>
  </si>
  <si>
    <t>2005 - 2007</t>
  </si>
  <si>
    <t>2008 - 2010</t>
  </si>
  <si>
    <t>2011 - 2013</t>
  </si>
  <si>
    <t>Private &gt; 40 acres</t>
  </si>
  <si>
    <r>
      <t xml:space="preserve">Private </t>
    </r>
    <r>
      <rPr>
        <sz val="11"/>
        <color theme="1"/>
        <rFont val="Calibri"/>
        <family val="2"/>
      </rPr>
      <t>≤ 40 acres</t>
    </r>
  </si>
  <si>
    <t>Public</t>
  </si>
  <si>
    <t>Timber Company</t>
  </si>
  <si>
    <t>Ownership*</t>
  </si>
  <si>
    <t xml:space="preserve">* Note that the parcel layers contain some small gaps in areas, thus the total percentages are below %100.  </t>
  </si>
  <si>
    <t>Land Use *</t>
  </si>
  <si>
    <t>agricultural</t>
  </si>
  <si>
    <t>camp</t>
  </si>
  <si>
    <t>cemetary</t>
  </si>
  <si>
    <t>church</t>
  </si>
  <si>
    <t>commercial</t>
  </si>
  <si>
    <t>golf course</t>
  </si>
  <si>
    <t>gravel mining</t>
  </si>
  <si>
    <t>grazing/timber</t>
  </si>
  <si>
    <t>industrial</t>
  </si>
  <si>
    <t>open space/parks</t>
  </si>
  <si>
    <t>public</t>
  </si>
  <si>
    <t>residential</t>
  </si>
  <si>
    <t>school</t>
  </si>
  <si>
    <t>timber production</t>
  </si>
  <si>
    <t>unknown</t>
  </si>
  <si>
    <t>vacant</t>
  </si>
  <si>
    <t>Fire Threat</t>
  </si>
  <si>
    <t>Little or No Threat</t>
  </si>
  <si>
    <t>Moderate</t>
  </si>
  <si>
    <t>High</t>
  </si>
  <si>
    <t>Very High</t>
  </si>
  <si>
    <t>Extreme</t>
  </si>
  <si>
    <t>Source: FRAP (http://frap.cdf.ca.gov/data/frapgisdata/output/fthrt.txt)</t>
  </si>
  <si>
    <t>Fire History</t>
  </si>
  <si>
    <t>Prior to 1950</t>
  </si>
  <si>
    <t>1950 - 1969</t>
  </si>
  <si>
    <t>1970 - 1989</t>
  </si>
  <si>
    <t>Source: FRAP (http://frap.cdf.ca.gov/data/frapgisdata/download.asp?rec=fire)</t>
  </si>
  <si>
    <t>1990 - 2010</t>
  </si>
  <si>
    <t>Grassland/Prairie</t>
  </si>
  <si>
    <t>Vegetation Cover Type</t>
  </si>
  <si>
    <t>Barren</t>
  </si>
  <si>
    <t>Primary Vegetation Type</t>
  </si>
  <si>
    <t>Douglas-Fir Ponderosa Pine</t>
  </si>
  <si>
    <t>Jeffrey Pine</t>
  </si>
  <si>
    <t>Incense Cedar</t>
  </si>
  <si>
    <t>Mixed Conifer - Pine</t>
  </si>
  <si>
    <t>Non-Native/Ornamental Conifer</t>
  </si>
  <si>
    <t>Pacific Douglas-Fir</t>
  </si>
  <si>
    <t>Ponderosa Pine</t>
  </si>
  <si>
    <t>Redwood</t>
  </si>
  <si>
    <t>Sargent Cypress</t>
  </si>
  <si>
    <t>Ultramafic Mixed Conifer</t>
  </si>
  <si>
    <t>Redwood - Douglas-Fir</t>
  </si>
  <si>
    <t>Agriculture (General)</t>
  </si>
  <si>
    <t>Annual Grasses and Forbs</t>
  </si>
  <si>
    <t>Non-Native/Ornamental Grass</t>
  </si>
  <si>
    <t>Pastures and Crop Agriculture</t>
  </si>
  <si>
    <t>Perennial Grasses and Forbs</t>
  </si>
  <si>
    <t>Black Cottonwood</t>
  </si>
  <si>
    <t>Black Oak</t>
  </si>
  <si>
    <t>California Bay</t>
  </si>
  <si>
    <t>Canyon Live Oak</t>
  </si>
  <si>
    <t>Coast Live Oak</t>
  </si>
  <si>
    <t>Interior Live Oak</t>
  </si>
  <si>
    <t>Interior Mixed Hardwood</t>
  </si>
  <si>
    <t>Madrone</t>
  </si>
  <si>
    <t>Montane Mixed Hardwood</t>
  </si>
  <si>
    <t>Oregon White Oak</t>
  </si>
  <si>
    <t>Riparian Mixed Hardwood</t>
  </si>
  <si>
    <t>Red Alder</t>
  </si>
  <si>
    <t>Tanoak (Madrone)</t>
  </si>
  <si>
    <t>Willow</t>
  </si>
  <si>
    <t>Valley Oak</t>
  </si>
  <si>
    <t>Dune</t>
  </si>
  <si>
    <t>Urban-related Bare Soil</t>
  </si>
  <si>
    <t>Urban/Developed (General)</t>
  </si>
  <si>
    <t>Blueblossom Ceanothus</t>
  </si>
  <si>
    <t>Chamise</t>
  </si>
  <si>
    <t>Coyote Brush</t>
  </si>
  <si>
    <t>Lower Montane Mixed Chaparral</t>
  </si>
  <si>
    <t>Manzanita Chaparral</t>
  </si>
  <si>
    <t>North Coast Mixed Shrub</t>
  </si>
  <si>
    <t>Scrub Oak</t>
  </si>
  <si>
    <t>Ultramafic Mixed Shrub</t>
  </si>
  <si>
    <t>Upper Montane Mixed Chaparral</t>
  </si>
  <si>
    <t>Wedgeleaf Ceanothus</t>
  </si>
  <si>
    <t>Willow (Shrub)</t>
  </si>
  <si>
    <t>Area (without CALVEG Water)</t>
  </si>
  <si>
    <t>% of Cover Type</t>
  </si>
  <si>
    <t>Percent of Basin*</t>
  </si>
  <si>
    <t>* - Not including water.</t>
  </si>
  <si>
    <t>Bridge</t>
  </si>
  <si>
    <t>Road Interchange</t>
  </si>
  <si>
    <t>Existing Permanent</t>
  </si>
  <si>
    <t>Proposed Permanent</t>
  </si>
  <si>
    <t>Existing Seasonal</t>
  </si>
  <si>
    <t>Abandoned Seasonal</t>
  </si>
  <si>
    <t>Proposed Seasonal</t>
  </si>
  <si>
    <t>Reconstructed Seasonal</t>
  </si>
  <si>
    <t>Existing Temporary &amp; 4WD</t>
  </si>
  <si>
    <t>Proposed Temporary &amp; 4WD</t>
  </si>
  <si>
    <t>Road Classification - PERM_CLASS (CAL FIRE)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</si>
</sst>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/>
    <xf numFmtId="164" fontId="0" fillId="0" borderId="1" xfId="0" applyNumberFormat="1" applyBorder="1"/>
    <xf numFmtId="0" fontId="0" fillId="0" borderId="0" xfId="0" applyBorder="1"/>
    <xf numFmtId="0" fontId="0" fillId="0" borderId="5" xfId="0" applyBorder="1"/>
    <xf numFmtId="164" fontId="0" fillId="0" borderId="4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164" fontId="0" fillId="0" borderId="1" xfId="0" applyNumberFormat="1" applyFill="1" applyBorder="1"/>
    <xf numFmtId="10" fontId="0" fillId="0" borderId="1" xfId="0" applyNumberFormat="1" applyFill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164" fontId="0" fillId="0" borderId="0" xfId="0" applyNumberFormat="1" applyBorder="1"/>
    <xf numFmtId="165" fontId="0" fillId="0" borderId="4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165" fontId="0" fillId="0" borderId="0" xfId="0" applyNumberFormat="1" applyBorder="1"/>
    <xf numFmtId="165" fontId="0" fillId="0" borderId="7" xfId="0" applyNumberFormat="1" applyBorder="1"/>
    <xf numFmtId="164" fontId="0" fillId="0" borderId="1" xfId="0" applyNumberFormat="1" applyBorder="1" applyAlignment="1">
      <alignment horizontal="left"/>
    </xf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10" xfId="0" applyBorder="1"/>
    <xf numFmtId="164" fontId="0" fillId="0" borderId="10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3" xfId="0" applyNumberFormat="1" applyBorder="1"/>
    <xf numFmtId="0" fontId="0" fillId="0" borderId="15" xfId="0" applyBorder="1"/>
    <xf numFmtId="164" fontId="0" fillId="0" borderId="15" xfId="0" applyNumberFormat="1" applyBorder="1"/>
    <xf numFmtId="10" fontId="0" fillId="0" borderId="15" xfId="0" applyNumberFormat="1" applyBorder="1"/>
    <xf numFmtId="164" fontId="0" fillId="0" borderId="15" xfId="0" applyNumberFormat="1" applyFill="1" applyBorder="1"/>
    <xf numFmtId="10" fontId="0" fillId="0" borderId="16" xfId="0" applyNumberFormat="1" applyBorder="1"/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21" xfId="0" applyBorder="1"/>
    <xf numFmtId="10" fontId="0" fillId="0" borderId="18" xfId="0" applyNumberFormat="1" applyBorder="1"/>
    <xf numFmtId="10" fontId="0" fillId="0" borderId="4" xfId="0" applyNumberFormat="1" applyBorder="1"/>
    <xf numFmtId="10" fontId="0" fillId="0" borderId="21" xfId="0" applyNumberFormat="1" applyBorder="1"/>
    <xf numFmtId="10" fontId="0" fillId="0" borderId="19" xfId="0" applyNumberFormat="1" applyBorder="1"/>
    <xf numFmtId="10" fontId="0" fillId="0" borderId="20" xfId="0" applyNumberFormat="1" applyBorder="1"/>
    <xf numFmtId="10" fontId="0" fillId="0" borderId="22" xfId="0" applyNumberFormat="1" applyBorder="1"/>
    <xf numFmtId="0" fontId="0" fillId="0" borderId="15" xfId="0" applyBorder="1" applyAlignment="1">
      <alignment horizontal="center"/>
    </xf>
    <xf numFmtId="10" fontId="0" fillId="0" borderId="18" xfId="0" applyNumberForma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10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6" xfId="0" applyBorder="1" applyAlignment="1">
      <alignment vertical="center"/>
    </xf>
    <xf numFmtId="10" fontId="0" fillId="0" borderId="2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31" sqref="B31"/>
    </sheetView>
  </sheetViews>
  <sheetFormatPr defaultRowHeight="15" x14ac:dyDescent="0.25"/>
  <cols>
    <col min="1" max="1" width="24.140625" bestFit="1" customWidth="1"/>
    <col min="2" max="2" width="48.7109375" bestFit="1" customWidth="1"/>
    <col min="3" max="3" width="7.5703125" bestFit="1" customWidth="1"/>
    <col min="4" max="4" width="8.140625" bestFit="1" customWidth="1"/>
    <col min="5" max="5" width="7.5703125" bestFit="1" customWidth="1"/>
    <col min="6" max="6" width="8.140625" bestFit="1" customWidth="1"/>
    <col min="7" max="7" width="7.5703125" bestFit="1" customWidth="1"/>
    <col min="8" max="8" width="8.140625" bestFit="1" customWidth="1"/>
    <col min="9" max="9" width="7.5703125" bestFit="1" customWidth="1"/>
    <col min="10" max="10" width="8.140625" bestFit="1" customWidth="1"/>
    <col min="11" max="11" width="12" customWidth="1"/>
    <col min="12" max="12" width="12" bestFit="1" customWidth="1"/>
    <col min="13" max="13" width="10.5703125" customWidth="1"/>
  </cols>
  <sheetData>
    <row r="1" spans="1:10" x14ac:dyDescent="0.25">
      <c r="A1" s="5"/>
      <c r="B1" s="6"/>
      <c r="C1" s="60" t="s">
        <v>31</v>
      </c>
      <c r="D1" s="61"/>
      <c r="E1" s="60" t="s">
        <v>32</v>
      </c>
      <c r="F1" s="61"/>
      <c r="G1" s="60" t="s">
        <v>33</v>
      </c>
      <c r="H1" s="61"/>
      <c r="I1" s="62" t="s">
        <v>34</v>
      </c>
      <c r="J1" s="63"/>
    </row>
    <row r="2" spans="1:10" x14ac:dyDescent="0.25">
      <c r="A2" s="1" t="s">
        <v>35</v>
      </c>
      <c r="B2" s="1" t="s">
        <v>14</v>
      </c>
      <c r="C2" s="2" t="s">
        <v>29</v>
      </c>
      <c r="D2" s="2" t="s">
        <v>30</v>
      </c>
      <c r="E2" s="2" t="s">
        <v>29</v>
      </c>
      <c r="F2" s="2" t="s">
        <v>30</v>
      </c>
      <c r="G2" s="2" t="s">
        <v>29</v>
      </c>
      <c r="H2" s="2" t="s">
        <v>30</v>
      </c>
      <c r="I2" s="2" t="s">
        <v>29</v>
      </c>
      <c r="J2" s="8" t="s">
        <v>30</v>
      </c>
    </row>
    <row r="3" spans="1:10" x14ac:dyDescent="0.25">
      <c r="A3" s="1" t="s">
        <v>0</v>
      </c>
      <c r="B3" s="1" t="s">
        <v>15</v>
      </c>
      <c r="C3" s="4">
        <f>E3+G3+I3</f>
        <v>1.107817778717304</v>
      </c>
      <c r="D3" s="3">
        <f>C3/689.3705</f>
        <v>1.6069991081969768E-3</v>
      </c>
      <c r="E3" s="4">
        <v>0</v>
      </c>
      <c r="F3" s="3">
        <f>E3/149.3783</f>
        <v>0</v>
      </c>
      <c r="G3" s="4">
        <v>1.107817778717304</v>
      </c>
      <c r="H3" s="3">
        <f>G3/320.275122</f>
        <v>3.4589566988512581E-3</v>
      </c>
      <c r="I3" s="4">
        <v>0</v>
      </c>
      <c r="J3" s="3">
        <f>I3/219.7171</f>
        <v>0</v>
      </c>
    </row>
    <row r="4" spans="1:10" x14ac:dyDescent="0.25">
      <c r="A4" s="1" t="s">
        <v>1</v>
      </c>
      <c r="B4" s="1" t="s">
        <v>16</v>
      </c>
      <c r="C4" s="4">
        <f t="shared" ref="C4:C16" si="0">E4+G4+I4</f>
        <v>7.3179146624019014</v>
      </c>
      <c r="D4" s="3">
        <f t="shared" ref="D4:D17" si="1">C4/689.3705</f>
        <v>1.0615358014887352E-2</v>
      </c>
      <c r="E4" s="4">
        <v>0</v>
      </c>
      <c r="F4" s="3">
        <f t="shared" ref="F4:F17" si="2">E4/149.3783</f>
        <v>0</v>
      </c>
      <c r="G4" s="4">
        <v>7.3179146624019014</v>
      </c>
      <c r="H4" s="3">
        <f t="shared" ref="H4:H17" si="3">G4/320.275122</f>
        <v>2.2848838887966769E-2</v>
      </c>
      <c r="I4" s="4">
        <v>0</v>
      </c>
      <c r="J4" s="3">
        <f t="shared" ref="J4:J17" si="4">I4/219.7171</f>
        <v>0</v>
      </c>
    </row>
    <row r="5" spans="1:10" x14ac:dyDescent="0.25">
      <c r="A5" s="1" t="s">
        <v>2</v>
      </c>
      <c r="B5" s="1" t="s">
        <v>17</v>
      </c>
      <c r="C5" s="4">
        <f t="shared" si="0"/>
        <v>15.186058895646672</v>
      </c>
      <c r="D5" s="3">
        <f t="shared" si="1"/>
        <v>2.2028878368956423E-2</v>
      </c>
      <c r="E5" s="4">
        <v>0</v>
      </c>
      <c r="F5" s="3">
        <f t="shared" si="2"/>
        <v>0</v>
      </c>
      <c r="G5" s="4">
        <v>15.186058895646672</v>
      </c>
      <c r="H5" s="3">
        <f t="shared" si="3"/>
        <v>4.7415668131871549E-2</v>
      </c>
      <c r="I5" s="4">
        <v>0</v>
      </c>
      <c r="J5" s="3">
        <f t="shared" si="4"/>
        <v>0</v>
      </c>
    </row>
    <row r="6" spans="1:10" x14ac:dyDescent="0.25">
      <c r="A6" s="1" t="s">
        <v>3</v>
      </c>
      <c r="B6" s="1" t="s">
        <v>18</v>
      </c>
      <c r="C6" s="4">
        <f t="shared" si="0"/>
        <v>10.704718833647236</v>
      </c>
      <c r="D6" s="3">
        <f t="shared" si="1"/>
        <v>1.5528251983000776E-2</v>
      </c>
      <c r="E6" s="4">
        <v>0</v>
      </c>
      <c r="F6" s="3">
        <f t="shared" si="2"/>
        <v>0</v>
      </c>
      <c r="G6" s="4">
        <v>10.704718833647236</v>
      </c>
      <c r="H6" s="3">
        <f t="shared" si="3"/>
        <v>3.3423510283284621E-2</v>
      </c>
      <c r="I6" s="4">
        <v>0</v>
      </c>
      <c r="J6" s="3">
        <f t="shared" si="4"/>
        <v>0</v>
      </c>
    </row>
    <row r="7" spans="1:10" x14ac:dyDescent="0.25">
      <c r="A7" s="1" t="s">
        <v>4</v>
      </c>
      <c r="B7" s="1" t="s">
        <v>19</v>
      </c>
      <c r="C7" s="4">
        <f t="shared" si="0"/>
        <v>10.782488083054652</v>
      </c>
      <c r="D7" s="3">
        <f t="shared" si="1"/>
        <v>1.5641063960605585E-2</v>
      </c>
      <c r="E7" s="4">
        <v>0.71225913240261984</v>
      </c>
      <c r="F7" s="3">
        <f t="shared" si="2"/>
        <v>4.7681566358876749E-3</v>
      </c>
      <c r="G7" s="4">
        <v>1.9564972292293865</v>
      </c>
      <c r="H7" s="3">
        <f t="shared" si="3"/>
        <v>6.1088017608479329E-3</v>
      </c>
      <c r="I7" s="4">
        <v>8.1137317214226456</v>
      </c>
      <c r="J7" s="3">
        <f t="shared" si="4"/>
        <v>3.692808489381412E-2</v>
      </c>
    </row>
    <row r="8" spans="1:10" x14ac:dyDescent="0.25">
      <c r="A8" s="1" t="s">
        <v>5</v>
      </c>
      <c r="B8" s="1" t="s">
        <v>20</v>
      </c>
      <c r="C8" s="4">
        <f t="shared" si="0"/>
        <v>1.4177734356069902</v>
      </c>
      <c r="D8" s="3">
        <f t="shared" si="1"/>
        <v>2.0566204031170323E-3</v>
      </c>
      <c r="E8" s="4">
        <v>1.074832975153593</v>
      </c>
      <c r="F8" s="3">
        <f t="shared" si="2"/>
        <v>7.19537560109864E-3</v>
      </c>
      <c r="G8" s="4">
        <v>0</v>
      </c>
      <c r="H8" s="3">
        <f t="shared" si="3"/>
        <v>0</v>
      </c>
      <c r="I8" s="4">
        <v>0.34294046045339721</v>
      </c>
      <c r="J8" s="3">
        <f t="shared" si="4"/>
        <v>1.5608273568757153E-3</v>
      </c>
    </row>
    <row r="9" spans="1:10" x14ac:dyDescent="0.25">
      <c r="A9" s="1" t="s">
        <v>6</v>
      </c>
      <c r="B9" s="1" t="s">
        <v>21</v>
      </c>
      <c r="C9" s="4">
        <f t="shared" si="0"/>
        <v>25.711981999831238</v>
      </c>
      <c r="D9" s="3">
        <f t="shared" si="1"/>
        <v>3.729776948655511E-2</v>
      </c>
      <c r="E9" s="4">
        <v>19.39559692206236</v>
      </c>
      <c r="F9" s="3">
        <f t="shared" si="2"/>
        <v>0.12984213183616602</v>
      </c>
      <c r="G9" s="4">
        <v>6.316385077768877</v>
      </c>
      <c r="H9" s="3">
        <f t="shared" si="3"/>
        <v>1.9721747472377441E-2</v>
      </c>
      <c r="I9" s="4">
        <v>0</v>
      </c>
      <c r="J9" s="3">
        <f t="shared" si="4"/>
        <v>0</v>
      </c>
    </row>
    <row r="10" spans="1:10" x14ac:dyDescent="0.25">
      <c r="A10" s="1" t="s">
        <v>7</v>
      </c>
      <c r="B10" s="1" t="s">
        <v>22</v>
      </c>
      <c r="C10" s="4">
        <f t="shared" si="0"/>
        <v>31.287459351149469</v>
      </c>
      <c r="D10" s="3">
        <f t="shared" si="1"/>
        <v>4.5385550079600837E-2</v>
      </c>
      <c r="E10" s="4">
        <v>23.528149106667009</v>
      </c>
      <c r="F10" s="3">
        <f t="shared" si="2"/>
        <v>0.15750714197890195</v>
      </c>
      <c r="G10" s="4">
        <v>7.0735561733468677E-2</v>
      </c>
      <c r="H10" s="3">
        <f t="shared" si="3"/>
        <v>2.20858745730081E-4</v>
      </c>
      <c r="I10" s="4">
        <v>7.6885746827489916</v>
      </c>
      <c r="J10" s="3">
        <f t="shared" si="4"/>
        <v>3.4993064639707111E-2</v>
      </c>
    </row>
    <row r="11" spans="1:10" x14ac:dyDescent="0.25">
      <c r="A11" s="1" t="s">
        <v>8</v>
      </c>
      <c r="B11" s="1" t="s">
        <v>23</v>
      </c>
      <c r="C11" s="4">
        <f t="shared" si="0"/>
        <v>7.7896677765287912</v>
      </c>
      <c r="D11" s="3">
        <f t="shared" si="1"/>
        <v>1.129968250241168E-2</v>
      </c>
      <c r="E11" s="4">
        <v>3.4340935113329407</v>
      </c>
      <c r="F11" s="3">
        <f t="shared" si="2"/>
        <v>2.2989239476770996E-2</v>
      </c>
      <c r="G11" s="4">
        <v>2.6607126572326352</v>
      </c>
      <c r="H11" s="3">
        <f t="shared" si="3"/>
        <v>8.3075845561074672E-3</v>
      </c>
      <c r="I11" s="4">
        <v>1.6948616079632155</v>
      </c>
      <c r="J11" s="3">
        <f t="shared" si="4"/>
        <v>7.7138356912739865E-3</v>
      </c>
    </row>
    <row r="12" spans="1:10" x14ac:dyDescent="0.25">
      <c r="A12" s="1" t="s">
        <v>9</v>
      </c>
      <c r="B12" s="1" t="s">
        <v>24</v>
      </c>
      <c r="C12" s="4">
        <f t="shared" si="0"/>
        <v>102.42796355880957</v>
      </c>
      <c r="D12" s="3">
        <f t="shared" si="1"/>
        <v>0.14858187804498388</v>
      </c>
      <c r="E12" s="4">
        <v>99.481191688754137</v>
      </c>
      <c r="F12" s="3">
        <f t="shared" si="2"/>
        <v>0.66596816062811093</v>
      </c>
      <c r="G12" s="4">
        <v>0</v>
      </c>
      <c r="H12" s="3">
        <f t="shared" si="3"/>
        <v>0</v>
      </c>
      <c r="I12" s="4">
        <v>2.9467718700554282</v>
      </c>
      <c r="J12" s="3">
        <f t="shared" si="4"/>
        <v>1.3411663771529064E-2</v>
      </c>
    </row>
    <row r="13" spans="1:10" x14ac:dyDescent="0.25">
      <c r="A13" s="1" t="s">
        <v>10</v>
      </c>
      <c r="B13" s="1" t="s">
        <v>25</v>
      </c>
      <c r="C13" s="4">
        <f t="shared" si="0"/>
        <v>93.9313361150584</v>
      </c>
      <c r="D13" s="3">
        <f t="shared" si="1"/>
        <v>0.13625668071821814</v>
      </c>
      <c r="E13" s="4">
        <v>0</v>
      </c>
      <c r="F13" s="3">
        <f t="shared" si="2"/>
        <v>0</v>
      </c>
      <c r="G13" s="4">
        <v>13.690105829428786</v>
      </c>
      <c r="H13" s="3">
        <f t="shared" si="3"/>
        <v>4.274483058171713E-2</v>
      </c>
      <c r="I13" s="4">
        <v>80.241230285629612</v>
      </c>
      <c r="J13" s="3">
        <f t="shared" si="4"/>
        <v>0.36520248212646905</v>
      </c>
    </row>
    <row r="14" spans="1:10" x14ac:dyDescent="0.25">
      <c r="A14" s="1" t="s">
        <v>11</v>
      </c>
      <c r="B14" s="1" t="s">
        <v>26</v>
      </c>
      <c r="C14" s="4">
        <f t="shared" si="0"/>
        <v>295.15595762696728</v>
      </c>
      <c r="D14" s="3">
        <f t="shared" si="1"/>
        <v>0.42815286935975255</v>
      </c>
      <c r="E14" s="4">
        <v>0</v>
      </c>
      <c r="F14" s="3">
        <f t="shared" si="2"/>
        <v>0</v>
      </c>
      <c r="G14" s="4">
        <v>181.97894932809379</v>
      </c>
      <c r="H14" s="3">
        <f t="shared" si="3"/>
        <v>0.56819570684011411</v>
      </c>
      <c r="I14" s="4">
        <v>113.17700829887349</v>
      </c>
      <c r="J14" s="3">
        <f t="shared" si="4"/>
        <v>0.51510332285868277</v>
      </c>
    </row>
    <row r="15" spans="1:10" x14ac:dyDescent="0.25">
      <c r="A15" s="1" t="s">
        <v>12</v>
      </c>
      <c r="B15" s="1" t="s">
        <v>27</v>
      </c>
      <c r="C15" s="4">
        <f t="shared" si="0"/>
        <v>30.349701273696159</v>
      </c>
      <c r="D15" s="3">
        <f t="shared" si="1"/>
        <v>4.4025239365038334E-2</v>
      </c>
      <c r="E15" s="4">
        <v>0</v>
      </c>
      <c r="F15" s="3">
        <f t="shared" si="2"/>
        <v>0</v>
      </c>
      <c r="G15" s="4">
        <v>28.937497264252304</v>
      </c>
      <c r="H15" s="3">
        <f t="shared" si="3"/>
        <v>9.035199825558822E-2</v>
      </c>
      <c r="I15" s="4">
        <v>1.4122040094438557</v>
      </c>
      <c r="J15" s="3">
        <f t="shared" si="4"/>
        <v>6.4273741526893252E-3</v>
      </c>
    </row>
    <row r="16" spans="1:10" x14ac:dyDescent="0.25">
      <c r="A16" s="1" t="s">
        <v>13</v>
      </c>
      <c r="B16" s="1" t="s">
        <v>28</v>
      </c>
      <c r="C16" s="4">
        <f t="shared" si="0"/>
        <v>56.199675931894596</v>
      </c>
      <c r="D16" s="3">
        <f t="shared" si="1"/>
        <v>8.1523180832215186E-2</v>
      </c>
      <c r="E16" s="4">
        <v>1.7521961778730217</v>
      </c>
      <c r="F16" s="3">
        <f t="shared" si="2"/>
        <v>1.1729924479479428E-2</v>
      </c>
      <c r="G16" s="4">
        <v>50.347728964933737</v>
      </c>
      <c r="H16" s="3">
        <f t="shared" si="3"/>
        <v>0.15720149804496439</v>
      </c>
      <c r="I16" s="4">
        <v>4.0997507890878353</v>
      </c>
      <c r="J16" s="3">
        <f t="shared" si="4"/>
        <v>1.8659224926452403E-2</v>
      </c>
    </row>
    <row r="17" spans="1:10" x14ac:dyDescent="0.25">
      <c r="C17" s="7">
        <f>SUM(C3:C16)</f>
        <v>689.37051532301018</v>
      </c>
      <c r="D17" s="3">
        <f t="shared" si="1"/>
        <v>1.0000000222275398</v>
      </c>
      <c r="E17" s="7">
        <f t="shared" ref="E17:I17" si="5">SUM(E3:E16)</f>
        <v>149.37831951424567</v>
      </c>
      <c r="F17" s="3">
        <f t="shared" si="2"/>
        <v>1.0000001306364157</v>
      </c>
      <c r="G17" s="7">
        <f t="shared" si="5"/>
        <v>320.2751220830861</v>
      </c>
      <c r="H17" s="3">
        <f t="shared" si="3"/>
        <v>1.0000000002594209</v>
      </c>
      <c r="I17" s="7">
        <f t="shared" si="5"/>
        <v>219.71707372567846</v>
      </c>
      <c r="J17" s="3">
        <f t="shared" si="4"/>
        <v>0.99999988041749355</v>
      </c>
    </row>
    <row r="18" spans="1:10" x14ac:dyDescent="0.25">
      <c r="D18" s="5"/>
      <c r="F18" s="5"/>
      <c r="H18" s="5"/>
    </row>
    <row r="19" spans="1:10" x14ac:dyDescent="0.25">
      <c r="A19" s="1" t="s">
        <v>67</v>
      </c>
      <c r="B19" s="1" t="s">
        <v>65</v>
      </c>
    </row>
    <row r="20" spans="1:10" x14ac:dyDescent="0.25">
      <c r="A20" s="1" t="s">
        <v>61</v>
      </c>
      <c r="B20" s="31">
        <v>689.37049999999999</v>
      </c>
    </row>
    <row r="21" spans="1:10" x14ac:dyDescent="0.25">
      <c r="A21" s="1" t="s">
        <v>62</v>
      </c>
      <c r="B21" s="31">
        <v>149.37832</v>
      </c>
    </row>
    <row r="22" spans="1:10" x14ac:dyDescent="0.25">
      <c r="A22" s="1" t="s">
        <v>63</v>
      </c>
      <c r="B22" s="31">
        <v>320.27512200000001</v>
      </c>
    </row>
    <row r="23" spans="1:10" x14ac:dyDescent="0.25">
      <c r="A23" s="1" t="s">
        <v>64</v>
      </c>
      <c r="B23" s="31">
        <v>219.717074</v>
      </c>
    </row>
  </sheetData>
  <mergeCells count="4">
    <mergeCell ref="C1:D1"/>
    <mergeCell ref="E1:F1"/>
    <mergeCell ref="G1:H1"/>
    <mergeCell ref="I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workbookViewId="0">
      <selection activeCell="O52" sqref="O52"/>
    </sheetView>
  </sheetViews>
  <sheetFormatPr defaultRowHeight="15" x14ac:dyDescent="0.25"/>
  <cols>
    <col min="1" max="1" width="43" bestFit="1" customWidth="1"/>
    <col min="2" max="2" width="16.42578125" bestFit="1" customWidth="1"/>
    <col min="3" max="3" width="30.42578125" bestFit="1" customWidth="1"/>
    <col min="4" max="4" width="7.5703125" bestFit="1" customWidth="1"/>
    <col min="5" max="5" width="15.28515625" bestFit="1" customWidth="1"/>
    <col min="6" max="6" width="7.5703125" bestFit="1" customWidth="1"/>
    <col min="7" max="7" width="15.28515625" bestFit="1" customWidth="1"/>
    <col min="8" max="8" width="7.5703125" bestFit="1" customWidth="1"/>
    <col min="9" max="9" width="15.28515625" bestFit="1" customWidth="1"/>
    <col min="11" max="11" width="15.28515625" bestFit="1" customWidth="1"/>
    <col min="12" max="12" width="11" bestFit="1" customWidth="1"/>
    <col min="13" max="13" width="12" bestFit="1" customWidth="1"/>
  </cols>
  <sheetData>
    <row r="1" spans="1:14" x14ac:dyDescent="0.25">
      <c r="B1" s="64" t="s">
        <v>31</v>
      </c>
      <c r="C1" s="64"/>
      <c r="D1" s="64" t="s">
        <v>32</v>
      </c>
      <c r="E1" s="64"/>
      <c r="F1" s="64" t="s">
        <v>33</v>
      </c>
      <c r="G1" s="64"/>
      <c r="H1" s="64" t="s">
        <v>34</v>
      </c>
      <c r="I1" s="64"/>
    </row>
    <row r="2" spans="1:14" x14ac:dyDescent="0.25">
      <c r="A2" s="1" t="s">
        <v>44</v>
      </c>
      <c r="B2" s="9" t="s">
        <v>29</v>
      </c>
      <c r="C2" s="9" t="s">
        <v>30</v>
      </c>
      <c r="D2" s="9" t="s">
        <v>29</v>
      </c>
      <c r="E2" s="9" t="s">
        <v>30</v>
      </c>
      <c r="F2" s="9" t="s">
        <v>29</v>
      </c>
      <c r="G2" s="9" t="s">
        <v>30</v>
      </c>
      <c r="H2" s="9" t="s">
        <v>29</v>
      </c>
      <c r="I2" s="10" t="s">
        <v>30</v>
      </c>
    </row>
    <row r="3" spans="1:14" x14ac:dyDescent="0.25">
      <c r="A3" s="1" t="s">
        <v>36</v>
      </c>
      <c r="B3" s="4">
        <f>D3+F3+H3</f>
        <v>0.90250192336859802</v>
      </c>
      <c r="C3" s="3">
        <f t="shared" ref="C3:C12" si="0">B3/689.3705</f>
        <v>1.3091681807802888E-3</v>
      </c>
      <c r="D3" s="4">
        <v>8.3355067690960797E-3</v>
      </c>
      <c r="E3" s="3">
        <f>D3/149.3783</f>
        <v>5.5801323010745738E-5</v>
      </c>
      <c r="F3" s="4">
        <v>0.76089877900627023</v>
      </c>
      <c r="G3" s="3">
        <f>F3/320.2751</f>
        <v>2.3757662678312182E-3</v>
      </c>
      <c r="H3" s="4">
        <v>0.13326763759323174</v>
      </c>
      <c r="I3" s="3">
        <f>H3/219.7171</f>
        <v>6.0654194686363399E-4</v>
      </c>
    </row>
    <row r="4" spans="1:14" x14ac:dyDescent="0.25">
      <c r="A4" s="1" t="s">
        <v>37</v>
      </c>
      <c r="B4" s="4">
        <f t="shared" ref="B4:B11" si="1">D4+F4+H4</f>
        <v>6.5478752153832271</v>
      </c>
      <c r="C4" s="3">
        <f t="shared" si="0"/>
        <v>9.4983397394916482E-3</v>
      </c>
      <c r="D4" s="4">
        <v>1.2871584510741936</v>
      </c>
      <c r="E4" s="3">
        <f t="shared" ref="E4:E12" si="2">D4/149.3783</f>
        <v>8.6167699798042532E-3</v>
      </c>
      <c r="F4" s="4">
        <v>3.9435729983791052</v>
      </c>
      <c r="G4" s="3">
        <f t="shared" ref="G4:G12" si="3">F4/320.2751</f>
        <v>1.2313080218784118E-2</v>
      </c>
      <c r="H4" s="4">
        <v>1.3171437659299281</v>
      </c>
      <c r="I4" s="3">
        <f t="shared" ref="I4:I12" si="4">H4/219.7171</f>
        <v>5.9947257902545053E-3</v>
      </c>
    </row>
    <row r="5" spans="1:14" x14ac:dyDescent="0.25">
      <c r="A5" s="1" t="s">
        <v>38</v>
      </c>
      <c r="B5" s="4">
        <f t="shared" si="1"/>
        <v>117.47505603404778</v>
      </c>
      <c r="C5" s="3">
        <f t="shared" si="0"/>
        <v>0.17040917189529836</v>
      </c>
      <c r="D5" s="4">
        <v>42.136672118013998</v>
      </c>
      <c r="E5" s="3">
        <f t="shared" si="2"/>
        <v>0.28208027617139836</v>
      </c>
      <c r="F5" s="4">
        <v>50.820048412493669</v>
      </c>
      <c r="G5" s="3">
        <f t="shared" si="3"/>
        <v>0.15867623930956126</v>
      </c>
      <c r="H5" s="4">
        <v>24.518335503540108</v>
      </c>
      <c r="I5" s="3">
        <f t="shared" si="4"/>
        <v>0.11159047476750836</v>
      </c>
    </row>
    <row r="6" spans="1:14" x14ac:dyDescent="0.25">
      <c r="A6" s="1" t="s">
        <v>39</v>
      </c>
      <c r="B6" s="4">
        <f t="shared" si="1"/>
        <v>118.67694061258976</v>
      </c>
      <c r="C6" s="3">
        <f t="shared" si="0"/>
        <v>0.17215262418770425</v>
      </c>
      <c r="D6" s="4">
        <v>8.5129645821209614</v>
      </c>
      <c r="E6" s="3">
        <f t="shared" si="2"/>
        <v>5.698929886148766E-2</v>
      </c>
      <c r="F6" s="4">
        <v>86.305774412972411</v>
      </c>
      <c r="G6" s="3">
        <f t="shared" si="3"/>
        <v>0.26947388171285375</v>
      </c>
      <c r="H6" s="4">
        <v>23.858201617496384</v>
      </c>
      <c r="I6" s="3">
        <f t="shared" si="4"/>
        <v>0.10858600271665876</v>
      </c>
    </row>
    <row r="7" spans="1:14" x14ac:dyDescent="0.25">
      <c r="A7" s="1" t="s">
        <v>112</v>
      </c>
      <c r="B7" s="4">
        <f t="shared" si="1"/>
        <v>73.313647030070541</v>
      </c>
      <c r="C7" s="3">
        <f t="shared" si="0"/>
        <v>0.10634868627257844</v>
      </c>
      <c r="D7" s="4">
        <v>13.971780459336911</v>
      </c>
      <c r="E7" s="3">
        <f t="shared" si="2"/>
        <v>9.3532865612588376E-2</v>
      </c>
      <c r="F7" s="4">
        <v>51.846067387925714</v>
      </c>
      <c r="G7" s="3">
        <f t="shared" si="3"/>
        <v>0.16187979455138946</v>
      </c>
      <c r="H7" s="4">
        <v>7.4957991828079082</v>
      </c>
      <c r="I7" s="3">
        <f t="shared" si="4"/>
        <v>3.4115684135681335E-2</v>
      </c>
    </row>
    <row r="8" spans="1:14" x14ac:dyDescent="0.25">
      <c r="A8" s="1" t="s">
        <v>40</v>
      </c>
      <c r="B8" s="4">
        <f t="shared" si="1"/>
        <v>365.97903385962462</v>
      </c>
      <c r="C8" s="3">
        <f t="shared" si="0"/>
        <v>0.5308887366947449</v>
      </c>
      <c r="D8" s="4">
        <v>82.243499332962344</v>
      </c>
      <c r="E8" s="3">
        <f t="shared" si="2"/>
        <v>0.55057193269010518</v>
      </c>
      <c r="F8" s="4">
        <v>122.27806182844003</v>
      </c>
      <c r="G8" s="3">
        <f t="shared" si="3"/>
        <v>0.38179072250212404</v>
      </c>
      <c r="H8" s="4">
        <v>161.45747269822226</v>
      </c>
      <c r="I8" s="3">
        <f t="shared" si="4"/>
        <v>0.73484254388130132</v>
      </c>
    </row>
    <row r="9" spans="1:14" x14ac:dyDescent="0.25">
      <c r="A9" s="1" t="s">
        <v>41</v>
      </c>
      <c r="B9" s="4">
        <f t="shared" si="1"/>
        <v>4.0061949712394993</v>
      </c>
      <c r="C9" s="3">
        <f t="shared" si="0"/>
        <v>5.8113815012964714E-3</v>
      </c>
      <c r="D9" s="4">
        <v>0.21109731415137281</v>
      </c>
      <c r="E9" s="3">
        <f t="shared" si="2"/>
        <v>1.4131725568665115E-3</v>
      </c>
      <c r="F9" s="4">
        <v>3.369247498771001</v>
      </c>
      <c r="G9" s="3">
        <f t="shared" si="3"/>
        <v>1.0519854646118293E-2</v>
      </c>
      <c r="H9" s="4">
        <v>0.42585015831712536</v>
      </c>
      <c r="I9" s="3">
        <f t="shared" si="4"/>
        <v>1.9381748544702502E-3</v>
      </c>
    </row>
    <row r="10" spans="1:14" x14ac:dyDescent="0.25">
      <c r="A10" s="1" t="s">
        <v>42</v>
      </c>
      <c r="B10" s="4">
        <f t="shared" si="1"/>
        <v>0.318207273708972</v>
      </c>
      <c r="C10" s="3">
        <f t="shared" si="0"/>
        <v>4.6159108013611261E-4</v>
      </c>
      <c r="D10" s="4">
        <v>2.3055923512721663E-2</v>
      </c>
      <c r="E10" s="3">
        <f t="shared" si="2"/>
        <v>1.5434586892956783E-4</v>
      </c>
      <c r="F10" s="4">
        <v>0.2951457362619781</v>
      </c>
      <c r="G10" s="3">
        <f t="shared" si="3"/>
        <v>9.2153819095514478E-4</v>
      </c>
      <c r="H10" s="4">
        <v>5.6139342722096571E-6</v>
      </c>
      <c r="I10" s="3">
        <f t="shared" si="4"/>
        <v>2.5550738983036175E-8</v>
      </c>
    </row>
    <row r="11" spans="1:14" x14ac:dyDescent="0.25">
      <c r="A11" s="1" t="s">
        <v>43</v>
      </c>
      <c r="B11" s="4">
        <f t="shared" si="1"/>
        <v>2.1510478549530636</v>
      </c>
      <c r="C11" s="3">
        <f t="shared" si="0"/>
        <v>3.1203073745584755E-3</v>
      </c>
      <c r="D11" s="4">
        <v>0.98375675713310251</v>
      </c>
      <c r="E11" s="3">
        <f t="shared" si="2"/>
        <v>6.5856738035785824E-3</v>
      </c>
      <c r="F11" s="4">
        <v>0.65629921139246339</v>
      </c>
      <c r="G11" s="3">
        <f t="shared" si="3"/>
        <v>2.0491733868554358E-3</v>
      </c>
      <c r="H11" s="4">
        <v>0.51099188642749771</v>
      </c>
      <c r="I11" s="3">
        <f t="shared" si="4"/>
        <v>2.3256810072019782E-3</v>
      </c>
    </row>
    <row r="12" spans="1:14" x14ac:dyDescent="0.25">
      <c r="B12" s="4">
        <f>SUM(B3:B11)</f>
        <v>689.3705047749861</v>
      </c>
      <c r="C12" s="3">
        <f t="shared" si="0"/>
        <v>1.0000000069265891</v>
      </c>
      <c r="D12" s="4">
        <f>SUM(D3:D11)</f>
        <v>149.37832044507471</v>
      </c>
      <c r="E12" s="3">
        <f t="shared" si="2"/>
        <v>1.0000001368677693</v>
      </c>
      <c r="F12" s="4">
        <f>SUM(F3:F11)</f>
        <v>320.27511626564262</v>
      </c>
      <c r="G12" s="3">
        <f t="shared" si="3"/>
        <v>1.0000000507864726</v>
      </c>
      <c r="H12" s="4">
        <f>SUM(H3:H11)</f>
        <v>219.71706806426872</v>
      </c>
      <c r="I12" s="3">
        <f t="shared" si="4"/>
        <v>0.99999985465067909</v>
      </c>
      <c r="M12" s="32"/>
    </row>
    <row r="15" spans="1:14" x14ac:dyDescent="0.25">
      <c r="A15" s="1" t="s">
        <v>67</v>
      </c>
      <c r="B15" s="1" t="s">
        <v>65</v>
      </c>
      <c r="C15" s="1" t="s">
        <v>161</v>
      </c>
      <c r="K15" s="32"/>
      <c r="N15" s="32"/>
    </row>
    <row r="16" spans="1:14" x14ac:dyDescent="0.25">
      <c r="A16" s="1" t="s">
        <v>61</v>
      </c>
      <c r="B16" s="4">
        <v>689.37049999999999</v>
      </c>
      <c r="C16" s="4">
        <v>687.21895300000006</v>
      </c>
      <c r="E16" s="32"/>
      <c r="F16" s="32"/>
    </row>
    <row r="17" spans="1:11" x14ac:dyDescent="0.25">
      <c r="A17" s="1" t="s">
        <v>62</v>
      </c>
      <c r="B17" s="4">
        <v>149.37832</v>
      </c>
      <c r="C17" s="4">
        <v>148.39424299999999</v>
      </c>
      <c r="K17" s="32"/>
    </row>
    <row r="18" spans="1:11" x14ac:dyDescent="0.25">
      <c r="A18" s="1" t="s">
        <v>63</v>
      </c>
      <c r="B18" s="4">
        <v>320.27512200000001</v>
      </c>
      <c r="C18" s="4">
        <v>319.61870099999999</v>
      </c>
      <c r="E18" s="32"/>
      <c r="G18" s="32"/>
    </row>
    <row r="19" spans="1:11" x14ac:dyDescent="0.25">
      <c r="A19" s="1" t="s">
        <v>64</v>
      </c>
      <c r="B19" s="4">
        <v>219.717074</v>
      </c>
      <c r="C19" s="4">
        <v>219.20600899999999</v>
      </c>
      <c r="G19" s="32"/>
    </row>
    <row r="20" spans="1:11" ht="15.75" thickBot="1" x14ac:dyDescent="0.3"/>
    <row r="21" spans="1:11" x14ac:dyDescent="0.25">
      <c r="A21" s="73" t="s">
        <v>113</v>
      </c>
      <c r="B21" s="65"/>
      <c r="C21" s="57"/>
      <c r="D21" s="65" t="s">
        <v>31</v>
      </c>
      <c r="E21" s="65"/>
      <c r="F21" s="65" t="s">
        <v>32</v>
      </c>
      <c r="G21" s="65"/>
      <c r="H21" s="65" t="s">
        <v>33</v>
      </c>
      <c r="I21" s="65"/>
      <c r="J21" s="65" t="s">
        <v>34</v>
      </c>
      <c r="K21" s="66"/>
    </row>
    <row r="22" spans="1:11" ht="15.75" thickBot="1" x14ac:dyDescent="0.3">
      <c r="A22" s="58"/>
      <c r="B22" s="48" t="s">
        <v>163</v>
      </c>
      <c r="C22" s="40" t="s">
        <v>115</v>
      </c>
      <c r="D22" s="55" t="s">
        <v>29</v>
      </c>
      <c r="E22" s="55" t="s">
        <v>162</v>
      </c>
      <c r="F22" s="55" t="s">
        <v>29</v>
      </c>
      <c r="G22" s="55" t="s">
        <v>162</v>
      </c>
      <c r="H22" s="55" t="s">
        <v>29</v>
      </c>
      <c r="I22" s="55" t="s">
        <v>162</v>
      </c>
      <c r="J22" s="55" t="s">
        <v>29</v>
      </c>
      <c r="K22" s="59" t="s">
        <v>162</v>
      </c>
    </row>
    <row r="23" spans="1:11" x14ac:dyDescent="0.25">
      <c r="A23" s="67" t="s">
        <v>38</v>
      </c>
      <c r="B23" s="70">
        <f>B5/C16</f>
        <v>0.17094268940229268</v>
      </c>
      <c r="C23" s="35" t="s">
        <v>116</v>
      </c>
      <c r="D23" s="36">
        <f>F23+H23+J23</f>
        <v>0.78646799999999994</v>
      </c>
      <c r="E23" s="37">
        <f>D23/117.475</f>
        <v>6.6947690998084694E-3</v>
      </c>
      <c r="F23" s="36">
        <v>0</v>
      </c>
      <c r="G23" s="37">
        <f>F23/42.137</f>
        <v>0</v>
      </c>
      <c r="H23" s="36">
        <v>0.78646799999999994</v>
      </c>
      <c r="I23" s="37">
        <f>H23/50.82</f>
        <v>1.5475560802833528E-2</v>
      </c>
      <c r="J23" s="36">
        <v>0</v>
      </c>
      <c r="K23" s="38">
        <f>J23/24.518</f>
        <v>0</v>
      </c>
    </row>
    <row r="24" spans="1:11" x14ac:dyDescent="0.25">
      <c r="A24" s="68"/>
      <c r="B24" s="71"/>
      <c r="C24" s="1" t="s">
        <v>117</v>
      </c>
      <c r="D24" s="4">
        <f t="shared" ref="D24:D75" si="5">F24+H24+J24</f>
        <v>0.83327999999999991</v>
      </c>
      <c r="E24" s="3">
        <f t="shared" ref="E24:E33" si="6">D24/117.475</f>
        <v>7.0932538838050646E-3</v>
      </c>
      <c r="F24" s="4">
        <v>7.9713999999999993E-2</v>
      </c>
      <c r="G24" s="3">
        <f t="shared" ref="G24:G33" si="7">F24/42.137</f>
        <v>1.8917815696418822E-3</v>
      </c>
      <c r="H24" s="4">
        <v>0.70299699999999998</v>
      </c>
      <c r="I24" s="3">
        <f t="shared" ref="I24:I33" si="8">H24/50.82</f>
        <v>1.3833077528532073E-2</v>
      </c>
      <c r="J24" s="4">
        <v>5.0569000000000003E-2</v>
      </c>
      <c r="K24" s="39">
        <f t="shared" ref="K24:K33" si="9">J24/24.518</f>
        <v>2.0625254914756505E-3</v>
      </c>
    </row>
    <row r="25" spans="1:11" x14ac:dyDescent="0.25">
      <c r="A25" s="68"/>
      <c r="B25" s="71"/>
      <c r="C25" s="1" t="s">
        <v>118</v>
      </c>
      <c r="D25" s="4">
        <f t="shared" si="5"/>
        <v>6.3397999999999996E-2</v>
      </c>
      <c r="E25" s="3">
        <f t="shared" si="6"/>
        <v>5.3967227069589272E-4</v>
      </c>
      <c r="F25" s="4">
        <v>6.3397999999999996E-2</v>
      </c>
      <c r="G25" s="3">
        <f t="shared" si="7"/>
        <v>1.5045684315447231E-3</v>
      </c>
      <c r="H25" s="4">
        <v>0</v>
      </c>
      <c r="I25" s="3">
        <f t="shared" si="8"/>
        <v>0</v>
      </c>
      <c r="J25" s="4">
        <v>0</v>
      </c>
      <c r="K25" s="39">
        <f t="shared" si="9"/>
        <v>0</v>
      </c>
    </row>
    <row r="26" spans="1:11" x14ac:dyDescent="0.25">
      <c r="A26" s="68"/>
      <c r="B26" s="71"/>
      <c r="C26" s="1" t="s">
        <v>119</v>
      </c>
      <c r="D26" s="4">
        <f t="shared" si="5"/>
        <v>0.17332900000000001</v>
      </c>
      <c r="E26" s="3">
        <f t="shared" si="6"/>
        <v>1.4754543519897852E-3</v>
      </c>
      <c r="F26" s="4">
        <v>0</v>
      </c>
      <c r="G26" s="3">
        <f t="shared" si="7"/>
        <v>0</v>
      </c>
      <c r="H26" s="4">
        <v>0.17332900000000001</v>
      </c>
      <c r="I26" s="3">
        <f t="shared" si="8"/>
        <v>3.4106454151908699E-3</v>
      </c>
      <c r="J26" s="4">
        <v>0</v>
      </c>
      <c r="K26" s="39">
        <f t="shared" si="9"/>
        <v>0</v>
      </c>
    </row>
    <row r="27" spans="1:11" x14ac:dyDescent="0.25">
      <c r="A27" s="68"/>
      <c r="B27" s="71"/>
      <c r="C27" s="1" t="s">
        <v>120</v>
      </c>
      <c r="D27" s="4">
        <f t="shared" si="5"/>
        <v>7.3900999999999994E-2</v>
      </c>
      <c r="E27" s="3">
        <f t="shared" si="6"/>
        <v>6.2907852734624386E-4</v>
      </c>
      <c r="F27" s="4">
        <v>7.3900999999999994E-2</v>
      </c>
      <c r="G27" s="3">
        <f t="shared" si="7"/>
        <v>1.753826803047203E-3</v>
      </c>
      <c r="H27" s="4">
        <v>0</v>
      </c>
      <c r="I27" s="3">
        <f t="shared" si="8"/>
        <v>0</v>
      </c>
      <c r="J27" s="4">
        <v>0</v>
      </c>
      <c r="K27" s="39">
        <f t="shared" si="9"/>
        <v>0</v>
      </c>
    </row>
    <row r="28" spans="1:11" x14ac:dyDescent="0.25">
      <c r="A28" s="68"/>
      <c r="B28" s="71"/>
      <c r="C28" s="1" t="s">
        <v>121</v>
      </c>
      <c r="D28" s="4">
        <f t="shared" si="5"/>
        <v>50.589489999999998</v>
      </c>
      <c r="E28" s="3">
        <f t="shared" si="6"/>
        <v>0.43064047669716959</v>
      </c>
      <c r="F28" s="4">
        <v>6.4568019999999997</v>
      </c>
      <c r="G28" s="3">
        <f t="shared" si="7"/>
        <v>0.15323354771341099</v>
      </c>
      <c r="H28" s="4">
        <v>32.853233000000003</v>
      </c>
      <c r="I28" s="3">
        <f t="shared" si="8"/>
        <v>0.64646267217630859</v>
      </c>
      <c r="J28" s="4">
        <v>11.279455</v>
      </c>
      <c r="K28" s="39">
        <f t="shared" si="9"/>
        <v>0.46004792397422301</v>
      </c>
    </row>
    <row r="29" spans="1:11" x14ac:dyDescent="0.25">
      <c r="A29" s="68"/>
      <c r="B29" s="71"/>
      <c r="C29" s="1" t="s">
        <v>122</v>
      </c>
      <c r="D29" s="4">
        <f t="shared" si="5"/>
        <v>2.2640350000000002</v>
      </c>
      <c r="E29" s="3">
        <f t="shared" si="6"/>
        <v>1.9272483507129179E-2</v>
      </c>
      <c r="F29" s="4">
        <v>0</v>
      </c>
      <c r="G29" s="3">
        <f t="shared" si="7"/>
        <v>0</v>
      </c>
      <c r="H29" s="4">
        <v>2.263862</v>
      </c>
      <c r="I29" s="3">
        <f t="shared" si="8"/>
        <v>4.4546674537583632E-2</v>
      </c>
      <c r="J29" s="4">
        <v>1.73E-4</v>
      </c>
      <c r="K29" s="39">
        <f t="shared" si="9"/>
        <v>7.0560404600701526E-6</v>
      </c>
    </row>
    <row r="30" spans="1:11" x14ac:dyDescent="0.25">
      <c r="A30" s="68"/>
      <c r="B30" s="71"/>
      <c r="C30" s="1" t="s">
        <v>123</v>
      </c>
      <c r="D30" s="4">
        <f t="shared" si="5"/>
        <v>19.034700000000001</v>
      </c>
      <c r="E30" s="3">
        <f t="shared" si="6"/>
        <v>0.16203192168546501</v>
      </c>
      <c r="F30" s="4">
        <v>16.471903000000001</v>
      </c>
      <c r="G30" s="3">
        <f t="shared" si="7"/>
        <v>0.3909130455419228</v>
      </c>
      <c r="H30" s="4">
        <v>0.90108600000000005</v>
      </c>
      <c r="I30" s="3">
        <f t="shared" si="8"/>
        <v>1.7730932703659979E-2</v>
      </c>
      <c r="J30" s="4">
        <v>1.6617109999999999</v>
      </c>
      <c r="K30" s="39">
        <f t="shared" si="9"/>
        <v>6.7775144791581685E-2</v>
      </c>
    </row>
    <row r="31" spans="1:11" x14ac:dyDescent="0.25">
      <c r="A31" s="68"/>
      <c r="B31" s="71"/>
      <c r="C31" s="1" t="s">
        <v>126</v>
      </c>
      <c r="D31" s="4">
        <f t="shared" si="5"/>
        <v>36.405179000000004</v>
      </c>
      <c r="E31" s="3">
        <f t="shared" si="6"/>
        <v>0.30989724622260062</v>
      </c>
      <c r="F31" s="4">
        <v>18.990953000000001</v>
      </c>
      <c r="G31" s="3">
        <f t="shared" si="7"/>
        <v>0.45069542207561053</v>
      </c>
      <c r="H31" s="4">
        <v>5.8877980000000001</v>
      </c>
      <c r="I31" s="3">
        <f t="shared" si="8"/>
        <v>0.11585592286501377</v>
      </c>
      <c r="J31" s="4">
        <v>11.526427999999999</v>
      </c>
      <c r="K31" s="39">
        <f t="shared" si="9"/>
        <v>0.47012105391956927</v>
      </c>
    </row>
    <row r="32" spans="1:11" x14ac:dyDescent="0.25">
      <c r="A32" s="68"/>
      <c r="B32" s="71"/>
      <c r="C32" s="1" t="s">
        <v>124</v>
      </c>
      <c r="D32" s="4">
        <f t="shared" si="5"/>
        <v>1.1534599999999999</v>
      </c>
      <c r="E32" s="3">
        <f t="shared" si="6"/>
        <v>9.8187699510534163E-3</v>
      </c>
      <c r="F32" s="4">
        <v>0</v>
      </c>
      <c r="G32" s="3">
        <f t="shared" si="7"/>
        <v>0</v>
      </c>
      <c r="H32" s="4">
        <v>1.1534599999999999</v>
      </c>
      <c r="I32" s="3">
        <f t="shared" si="8"/>
        <v>2.2696969696969695E-2</v>
      </c>
      <c r="J32" s="4">
        <v>0</v>
      </c>
      <c r="K32" s="39">
        <f t="shared" si="9"/>
        <v>0</v>
      </c>
    </row>
    <row r="33" spans="1:13" ht="15.75" thickBot="1" x14ac:dyDescent="0.3">
      <c r="A33" s="69"/>
      <c r="B33" s="72"/>
      <c r="C33" s="40" t="s">
        <v>125</v>
      </c>
      <c r="D33" s="41">
        <f t="shared" si="5"/>
        <v>6.0978139999999996</v>
      </c>
      <c r="E33" s="42">
        <f t="shared" si="6"/>
        <v>5.1907333475207491E-2</v>
      </c>
      <c r="F33" s="43">
        <v>0</v>
      </c>
      <c r="G33" s="42">
        <f t="shared" si="7"/>
        <v>0</v>
      </c>
      <c r="H33" s="41">
        <v>6.0978139999999996</v>
      </c>
      <c r="I33" s="42">
        <f t="shared" si="8"/>
        <v>0.11998846910665091</v>
      </c>
      <c r="J33" s="43">
        <v>0</v>
      </c>
      <c r="K33" s="44">
        <f t="shared" si="9"/>
        <v>0</v>
      </c>
    </row>
    <row r="34" spans="1:13" ht="15.75" thickBot="1" x14ac:dyDescent="0.3">
      <c r="A34" s="45" t="s">
        <v>36</v>
      </c>
      <c r="B34" s="56">
        <f>B3/C16</f>
        <v>1.3132669281439302E-3</v>
      </c>
      <c r="C34" s="46" t="s">
        <v>127</v>
      </c>
      <c r="D34" s="47">
        <f t="shared" si="5"/>
        <v>0.90250300000000006</v>
      </c>
      <c r="E34" s="49">
        <v>1</v>
      </c>
      <c r="F34" s="47">
        <v>8.3359999999999997E-3</v>
      </c>
      <c r="G34" s="49">
        <v>1</v>
      </c>
      <c r="H34" s="47">
        <v>0.76089899999999999</v>
      </c>
      <c r="I34" s="49">
        <v>1</v>
      </c>
      <c r="J34" s="47">
        <v>0.133268</v>
      </c>
      <c r="K34" s="52">
        <v>1</v>
      </c>
    </row>
    <row r="35" spans="1:13" x14ac:dyDescent="0.25">
      <c r="A35" s="74" t="s">
        <v>112</v>
      </c>
      <c r="B35" s="78">
        <f>B7/C16</f>
        <v>0.10668164303389131</v>
      </c>
      <c r="C35" s="35" t="s">
        <v>128</v>
      </c>
      <c r="D35" s="36">
        <f t="shared" si="5"/>
        <v>72.705176000000009</v>
      </c>
      <c r="E35" s="37">
        <f>D35/73.314</f>
        <v>0.99169566522083119</v>
      </c>
      <c r="F35" s="36">
        <v>13.904997</v>
      </c>
      <c r="G35" s="37">
        <f>F35/13.972</f>
        <v>0.99520448038935017</v>
      </c>
      <c r="H35" s="36">
        <v>51.304853000000001</v>
      </c>
      <c r="I35" s="37">
        <f>H35/51.846</f>
        <v>0.98956241561547664</v>
      </c>
      <c r="J35" s="36">
        <v>7.4953260000000004</v>
      </c>
      <c r="K35" s="38">
        <f>J35/7.496</f>
        <v>0.99991008537886872</v>
      </c>
    </row>
    <row r="36" spans="1:13" x14ac:dyDescent="0.25">
      <c r="A36" s="75"/>
      <c r="B36" s="79"/>
      <c r="C36" s="1" t="s">
        <v>129</v>
      </c>
      <c r="D36" s="4">
        <f t="shared" si="5"/>
        <v>8.9966999999999991E-2</v>
      </c>
      <c r="E36" s="50">
        <f t="shared" ref="E36:E38" si="10">D36/73.314</f>
        <v>1.227146247647107E-3</v>
      </c>
      <c r="F36" s="4">
        <v>1.9085999999999999E-2</v>
      </c>
      <c r="G36" s="50">
        <f t="shared" ref="G36:G38" si="11">F36/13.972</f>
        <v>1.3660177497852848E-3</v>
      </c>
      <c r="H36" s="4">
        <v>7.0881E-2</v>
      </c>
      <c r="I36" s="50">
        <f t="shared" ref="I36:I38" si="12">H36/51.846</f>
        <v>1.3671450063650042E-3</v>
      </c>
      <c r="J36" s="16">
        <v>0</v>
      </c>
      <c r="K36" s="53">
        <f t="shared" ref="K36:K38" si="13">J36/7.496</f>
        <v>0</v>
      </c>
    </row>
    <row r="37" spans="1:13" x14ac:dyDescent="0.25">
      <c r="A37" s="75"/>
      <c r="B37" s="79"/>
      <c r="C37" s="1" t="s">
        <v>130</v>
      </c>
      <c r="D37" s="4">
        <f t="shared" si="5"/>
        <v>0.47108100000000003</v>
      </c>
      <c r="E37" s="50">
        <f t="shared" si="10"/>
        <v>6.4255258204435721E-3</v>
      </c>
      <c r="F37" s="4">
        <v>3.9892999999999998E-2</v>
      </c>
      <c r="G37" s="50">
        <f t="shared" si="11"/>
        <v>2.8552104208416835E-3</v>
      </c>
      <c r="H37" s="4">
        <v>0.43118800000000002</v>
      </c>
      <c r="I37" s="50">
        <f t="shared" si="12"/>
        <v>8.3167071712378984E-3</v>
      </c>
      <c r="J37" s="16">
        <v>0</v>
      </c>
      <c r="K37" s="53">
        <f t="shared" si="13"/>
        <v>0</v>
      </c>
    </row>
    <row r="38" spans="1:13" ht="15.75" thickBot="1" x14ac:dyDescent="0.3">
      <c r="A38" s="76"/>
      <c r="B38" s="80"/>
      <c r="C38" s="40" t="s">
        <v>131</v>
      </c>
      <c r="D38" s="41">
        <f t="shared" si="5"/>
        <v>4.7428000000000005E-2</v>
      </c>
      <c r="E38" s="51">
        <f t="shared" si="10"/>
        <v>6.4691600512862494E-4</v>
      </c>
      <c r="F38" s="41">
        <v>7.8050000000000003E-3</v>
      </c>
      <c r="G38" s="51">
        <f t="shared" si="11"/>
        <v>5.5861723446893794E-4</v>
      </c>
      <c r="H38" s="41">
        <v>3.9149000000000003E-2</v>
      </c>
      <c r="I38" s="51">
        <f t="shared" si="12"/>
        <v>7.5510164718589677E-4</v>
      </c>
      <c r="J38" s="41">
        <v>4.7399999999999997E-4</v>
      </c>
      <c r="K38" s="54">
        <f t="shared" si="13"/>
        <v>6.3233724653148342E-5</v>
      </c>
    </row>
    <row r="39" spans="1:13" x14ac:dyDescent="0.25">
      <c r="A39" s="67" t="s">
        <v>40</v>
      </c>
      <c r="B39" s="78">
        <f>B8/C16</f>
        <v>0.53255084462087676</v>
      </c>
      <c r="C39" s="35" t="s">
        <v>116</v>
      </c>
      <c r="D39" s="36">
        <f t="shared" si="5"/>
        <v>2.388093</v>
      </c>
      <c r="E39" s="37">
        <f>D39/365.979</f>
        <v>6.5252186600870546E-3</v>
      </c>
      <c r="F39" s="36">
        <v>0</v>
      </c>
      <c r="G39" s="37">
        <f>F39/82.243</f>
        <v>0</v>
      </c>
      <c r="H39" s="36">
        <v>2.3770630000000001</v>
      </c>
      <c r="I39" s="37">
        <f>H39/122.278</f>
        <v>1.9439825643206465E-2</v>
      </c>
      <c r="J39" s="36">
        <v>1.103E-2</v>
      </c>
      <c r="K39" s="38">
        <f>J39/161.547</f>
        <v>6.8277343435656497E-5</v>
      </c>
    </row>
    <row r="40" spans="1:13" x14ac:dyDescent="0.25">
      <c r="A40" s="68"/>
      <c r="B40" s="81"/>
      <c r="C40" s="1" t="s">
        <v>118</v>
      </c>
      <c r="D40" s="4">
        <f t="shared" si="5"/>
        <v>9.1575000000000004E-2</v>
      </c>
      <c r="E40" s="50">
        <f t="shared" ref="E40:E45" si="14">D40/365.979</f>
        <v>2.5021927487642738E-4</v>
      </c>
      <c r="F40" s="4">
        <v>9.1575000000000004E-2</v>
      </c>
      <c r="G40" s="50">
        <f t="shared" ref="G40:G45" si="15">F40/82.243</f>
        <v>1.1134686234694747E-3</v>
      </c>
      <c r="H40" s="4">
        <v>0</v>
      </c>
      <c r="I40" s="50">
        <f t="shared" ref="I40:I45" si="16">H40/122.278</f>
        <v>0</v>
      </c>
      <c r="J40" s="4">
        <v>0</v>
      </c>
      <c r="K40" s="53">
        <f t="shared" ref="K40:K45" si="17">J40/161.547</f>
        <v>0</v>
      </c>
    </row>
    <row r="41" spans="1:13" x14ac:dyDescent="0.25">
      <c r="A41" s="68"/>
      <c r="B41" s="81"/>
      <c r="C41" s="1" t="s">
        <v>117</v>
      </c>
      <c r="D41" s="4">
        <f t="shared" si="5"/>
        <v>0.243758</v>
      </c>
      <c r="E41" s="50">
        <f t="shared" si="14"/>
        <v>6.6604368010186378E-4</v>
      </c>
      <c r="F41" s="4">
        <v>0.234122</v>
      </c>
      <c r="G41" s="50">
        <f t="shared" si="15"/>
        <v>2.8467103583283684E-3</v>
      </c>
      <c r="H41" s="4">
        <v>8.848E-3</v>
      </c>
      <c r="I41" s="50">
        <f t="shared" si="16"/>
        <v>7.2359704934657091E-5</v>
      </c>
      <c r="J41" s="4">
        <v>7.8799999999999996E-4</v>
      </c>
      <c r="K41" s="53">
        <f t="shared" si="17"/>
        <v>4.8778374095464478E-6</v>
      </c>
    </row>
    <row r="42" spans="1:13" x14ac:dyDescent="0.25">
      <c r="A42" s="68"/>
      <c r="B42" s="81"/>
      <c r="C42" s="1" t="s">
        <v>121</v>
      </c>
      <c r="D42" s="4">
        <f t="shared" si="5"/>
        <v>253.117501</v>
      </c>
      <c r="E42" s="50">
        <f t="shared" si="14"/>
        <v>0.69161755455914142</v>
      </c>
      <c r="F42" s="4">
        <v>50.217933000000002</v>
      </c>
      <c r="G42" s="50">
        <f t="shared" si="15"/>
        <v>0.61060434322677926</v>
      </c>
      <c r="H42" s="4">
        <v>107.86342399999999</v>
      </c>
      <c r="I42" s="50">
        <f t="shared" si="16"/>
        <v>0.88211635780761866</v>
      </c>
      <c r="J42" s="4">
        <v>95.036143999999993</v>
      </c>
      <c r="K42" s="53">
        <f t="shared" si="17"/>
        <v>0.58828789144954718</v>
      </c>
    </row>
    <row r="43" spans="1:13" x14ac:dyDescent="0.25">
      <c r="A43" s="68"/>
      <c r="B43" s="81"/>
      <c r="C43" s="1" t="s">
        <v>122</v>
      </c>
      <c r="D43" s="4">
        <f t="shared" si="5"/>
        <v>2.3391890000000002</v>
      </c>
      <c r="E43" s="50">
        <f t="shared" si="14"/>
        <v>6.3915935067312612E-3</v>
      </c>
      <c r="F43" s="4">
        <v>0</v>
      </c>
      <c r="G43" s="50">
        <f t="shared" si="15"/>
        <v>0</v>
      </c>
      <c r="H43" s="4">
        <v>2.3384330000000002</v>
      </c>
      <c r="I43" s="50">
        <f t="shared" si="16"/>
        <v>1.9123906180997401E-2</v>
      </c>
      <c r="J43" s="4">
        <v>7.5600000000000005E-4</v>
      </c>
      <c r="K43" s="53">
        <f t="shared" si="17"/>
        <v>4.6797526416460847E-6</v>
      </c>
      <c r="M43" s="32"/>
    </row>
    <row r="44" spans="1:13" x14ac:dyDescent="0.25">
      <c r="A44" s="68"/>
      <c r="B44" s="81"/>
      <c r="C44" s="1" t="s">
        <v>123</v>
      </c>
      <c r="D44" s="4">
        <f t="shared" si="5"/>
        <v>2.1832009999999995</v>
      </c>
      <c r="E44" s="50">
        <f t="shared" si="14"/>
        <v>5.9653723301063711E-3</v>
      </c>
      <c r="F44" s="4">
        <v>2.0692849999999998</v>
      </c>
      <c r="G44" s="50">
        <f t="shared" si="15"/>
        <v>2.5160621572656638E-2</v>
      </c>
      <c r="H44" s="4">
        <v>2.7591999999999998E-2</v>
      </c>
      <c r="I44" s="50">
        <f t="shared" si="16"/>
        <v>2.2564974893275974E-4</v>
      </c>
      <c r="J44" s="4">
        <v>8.6323999999999998E-2</v>
      </c>
      <c r="K44" s="53">
        <f t="shared" si="17"/>
        <v>5.3435842200721766E-4</v>
      </c>
    </row>
    <row r="45" spans="1:13" ht="15.75" thickBot="1" x14ac:dyDescent="0.3">
      <c r="A45" s="69"/>
      <c r="B45" s="82"/>
      <c r="C45" s="40" t="s">
        <v>126</v>
      </c>
      <c r="D45" s="41">
        <f t="shared" si="5"/>
        <v>105.615719</v>
      </c>
      <c r="E45" s="51">
        <f t="shared" si="14"/>
        <v>0.28858409635525534</v>
      </c>
      <c r="F45" s="41">
        <v>29.630583000000001</v>
      </c>
      <c r="G45" s="51">
        <f t="shared" si="15"/>
        <v>0.36028091144535102</v>
      </c>
      <c r="H45" s="41">
        <v>9.6627010000000002</v>
      </c>
      <c r="I45" s="51">
        <f t="shared" si="16"/>
        <v>7.9022399777556054E-2</v>
      </c>
      <c r="J45" s="41">
        <v>66.322434999999999</v>
      </c>
      <c r="K45" s="54">
        <f t="shared" si="17"/>
        <v>0.41054575448631048</v>
      </c>
    </row>
    <row r="46" spans="1:13" x14ac:dyDescent="0.25">
      <c r="A46" s="67" t="s">
        <v>39</v>
      </c>
      <c r="B46" s="78">
        <f>B6/C16</f>
        <v>0.17269160009996079</v>
      </c>
      <c r="C46" s="35" t="s">
        <v>132</v>
      </c>
      <c r="D46" s="36">
        <f t="shared" si="5"/>
        <v>2.1221E-2</v>
      </c>
      <c r="E46" s="37">
        <f>D46/118.677</f>
        <v>1.7881308088340623E-4</v>
      </c>
      <c r="F46" s="36">
        <v>2.1221E-2</v>
      </c>
      <c r="G46" s="37">
        <f>F46/8.513</f>
        <v>2.4927757547280631E-3</v>
      </c>
      <c r="H46" s="36">
        <v>0</v>
      </c>
      <c r="I46" s="37">
        <f>H46/86.306</f>
        <v>0</v>
      </c>
      <c r="J46" s="36">
        <v>0</v>
      </c>
      <c r="K46" s="38">
        <f>J46/23.858</f>
        <v>0</v>
      </c>
    </row>
    <row r="47" spans="1:13" x14ac:dyDescent="0.25">
      <c r="A47" s="68"/>
      <c r="B47" s="81"/>
      <c r="C47" s="1" t="s">
        <v>133</v>
      </c>
      <c r="D47" s="4">
        <f t="shared" si="5"/>
        <v>4.5946800000000003</v>
      </c>
      <c r="E47" s="50">
        <f t="shared" ref="E47:E60" si="18">D47/118.677</f>
        <v>3.8715842159811928E-2</v>
      </c>
      <c r="F47" s="4">
        <v>0.424819</v>
      </c>
      <c r="G47" s="50">
        <f t="shared" ref="G47:G60" si="19">F47/8.513</f>
        <v>4.9902384588276755E-2</v>
      </c>
      <c r="H47" s="4">
        <v>4.1329070000000003</v>
      </c>
      <c r="I47" s="50">
        <f t="shared" ref="I47:I60" si="20">H47/86.306</f>
        <v>4.7886670683382392E-2</v>
      </c>
      <c r="J47" s="4">
        <v>3.6954000000000001E-2</v>
      </c>
      <c r="K47" s="53">
        <f t="shared" ref="K47:K60" si="21">J47/23.858</f>
        <v>1.5489144102607093E-3</v>
      </c>
    </row>
    <row r="48" spans="1:13" x14ac:dyDescent="0.25">
      <c r="A48" s="68"/>
      <c r="B48" s="81"/>
      <c r="C48" s="1" t="s">
        <v>134</v>
      </c>
      <c r="D48" s="4">
        <f t="shared" si="5"/>
        <v>1.9666969999999999</v>
      </c>
      <c r="E48" s="50">
        <f t="shared" si="18"/>
        <v>1.6571846271813406E-2</v>
      </c>
      <c r="F48" s="4">
        <v>0.26254699999999997</v>
      </c>
      <c r="G48" s="50">
        <f t="shared" si="19"/>
        <v>3.0840714201808995E-2</v>
      </c>
      <c r="H48" s="4">
        <v>0.63518300000000005</v>
      </c>
      <c r="I48" s="50">
        <f t="shared" si="20"/>
        <v>7.3596621324125795E-3</v>
      </c>
      <c r="J48" s="4">
        <v>1.068967</v>
      </c>
      <c r="K48" s="53">
        <f t="shared" si="21"/>
        <v>4.4805390225500882E-2</v>
      </c>
    </row>
    <row r="49" spans="1:14" x14ac:dyDescent="0.25">
      <c r="A49" s="68"/>
      <c r="B49" s="81"/>
      <c r="C49" s="1" t="s">
        <v>135</v>
      </c>
      <c r="D49" s="4">
        <f t="shared" si="5"/>
        <v>12.995208999999999</v>
      </c>
      <c r="E49" s="50">
        <f t="shared" si="18"/>
        <v>0.10950065303302239</v>
      </c>
      <c r="F49" s="4">
        <v>0.48171900000000001</v>
      </c>
      <c r="G49" s="50">
        <f t="shared" si="19"/>
        <v>5.6586279807353458E-2</v>
      </c>
      <c r="H49" s="4">
        <v>12.062196999999999</v>
      </c>
      <c r="I49" s="50">
        <f t="shared" si="20"/>
        <v>0.13976081616573588</v>
      </c>
      <c r="J49" s="4">
        <v>0.451293</v>
      </c>
      <c r="K49" s="53">
        <f t="shared" si="21"/>
        <v>1.8915793444546903E-2</v>
      </c>
    </row>
    <row r="50" spans="1:14" x14ac:dyDescent="0.25">
      <c r="A50" s="68"/>
      <c r="B50" s="81"/>
      <c r="C50" s="1" t="s">
        <v>136</v>
      </c>
      <c r="D50" s="4">
        <f t="shared" si="5"/>
        <v>1.6208E-2</v>
      </c>
      <c r="E50" s="50">
        <f t="shared" si="18"/>
        <v>1.3657237712446388E-4</v>
      </c>
      <c r="F50" s="4">
        <v>1.6208E-2</v>
      </c>
      <c r="G50" s="50">
        <f t="shared" si="19"/>
        <v>1.9039116645130976E-3</v>
      </c>
      <c r="H50" s="4">
        <v>0</v>
      </c>
      <c r="I50" s="50">
        <f t="shared" si="20"/>
        <v>0</v>
      </c>
      <c r="J50" s="4">
        <v>0</v>
      </c>
      <c r="K50" s="53">
        <f t="shared" si="21"/>
        <v>0</v>
      </c>
    </row>
    <row r="51" spans="1:14" x14ac:dyDescent="0.25">
      <c r="A51" s="68"/>
      <c r="B51" s="81"/>
      <c r="C51" s="1" t="s">
        <v>137</v>
      </c>
      <c r="D51" s="4">
        <f t="shared" si="5"/>
        <v>0.18751999999999999</v>
      </c>
      <c r="E51" s="50">
        <f t="shared" si="18"/>
        <v>1.5800871272445376E-3</v>
      </c>
      <c r="F51" s="4">
        <v>0</v>
      </c>
      <c r="G51" s="50">
        <f t="shared" si="19"/>
        <v>0</v>
      </c>
      <c r="H51" s="4">
        <v>0.18751999999999999</v>
      </c>
      <c r="I51" s="50">
        <f t="shared" si="20"/>
        <v>2.1727342247352443E-3</v>
      </c>
      <c r="J51" s="4">
        <v>0</v>
      </c>
      <c r="K51" s="53">
        <f t="shared" si="21"/>
        <v>0</v>
      </c>
    </row>
    <row r="52" spans="1:14" x14ac:dyDescent="0.25">
      <c r="A52" s="68"/>
      <c r="B52" s="81"/>
      <c r="C52" s="1" t="s">
        <v>138</v>
      </c>
      <c r="D52" s="4">
        <f t="shared" si="5"/>
        <v>0.193519</v>
      </c>
      <c r="E52" s="50">
        <f t="shared" si="18"/>
        <v>1.6306360962949854E-3</v>
      </c>
      <c r="F52" s="4">
        <v>9.9016999999999994E-2</v>
      </c>
      <c r="G52" s="50">
        <f t="shared" si="19"/>
        <v>1.1631269822624222E-2</v>
      </c>
      <c r="H52" s="4">
        <v>9.4502000000000003E-2</v>
      </c>
      <c r="I52" s="50">
        <f t="shared" si="20"/>
        <v>1.0949644288925451E-3</v>
      </c>
      <c r="J52" s="4">
        <v>0</v>
      </c>
      <c r="K52" s="53">
        <f t="shared" si="21"/>
        <v>0</v>
      </c>
    </row>
    <row r="53" spans="1:14" x14ac:dyDescent="0.25">
      <c r="A53" s="68"/>
      <c r="B53" s="81"/>
      <c r="C53" s="1" t="s">
        <v>139</v>
      </c>
      <c r="D53" s="4">
        <f t="shared" si="5"/>
        <v>9.4070000000000001E-2</v>
      </c>
      <c r="E53" s="50">
        <f t="shared" si="18"/>
        <v>7.9265569571189019E-4</v>
      </c>
      <c r="F53" s="4">
        <v>0</v>
      </c>
      <c r="G53" s="50">
        <f t="shared" si="19"/>
        <v>0</v>
      </c>
      <c r="H53" s="4">
        <v>0</v>
      </c>
      <c r="I53" s="50">
        <f t="shared" si="20"/>
        <v>0</v>
      </c>
      <c r="J53" s="4">
        <v>9.4070000000000001E-2</v>
      </c>
      <c r="K53" s="53">
        <f t="shared" si="21"/>
        <v>3.9429122306982979E-3</v>
      </c>
    </row>
    <row r="54" spans="1:14" x14ac:dyDescent="0.25">
      <c r="A54" s="68"/>
      <c r="B54" s="81"/>
      <c r="C54" s="1" t="s">
        <v>140</v>
      </c>
      <c r="D54" s="4">
        <f t="shared" si="5"/>
        <v>1.3114140000000001</v>
      </c>
      <c r="E54" s="50">
        <f t="shared" si="18"/>
        <v>1.1050279329608939E-2</v>
      </c>
      <c r="F54" s="4">
        <v>1.1525110000000001</v>
      </c>
      <c r="G54" s="50">
        <f t="shared" si="19"/>
        <v>0.13538247386350288</v>
      </c>
      <c r="H54" s="4">
        <v>0.15882199999999999</v>
      </c>
      <c r="I54" s="50">
        <f t="shared" si="20"/>
        <v>1.8402196834519037E-3</v>
      </c>
      <c r="J54" s="4">
        <v>8.1000000000000004E-5</v>
      </c>
      <c r="K54" s="53">
        <f t="shared" si="21"/>
        <v>3.3950876016430548E-6</v>
      </c>
    </row>
    <row r="55" spans="1:14" x14ac:dyDescent="0.25">
      <c r="A55" s="68"/>
      <c r="B55" s="81"/>
      <c r="C55" s="1" t="s">
        <v>141</v>
      </c>
      <c r="D55" s="4">
        <f t="shared" si="5"/>
        <v>36.972396000000003</v>
      </c>
      <c r="E55" s="50">
        <f t="shared" si="18"/>
        <v>0.311538006521904</v>
      </c>
      <c r="F55" s="4">
        <v>1.2143390000000001</v>
      </c>
      <c r="G55" s="50">
        <f t="shared" si="19"/>
        <v>0.14264524844355692</v>
      </c>
      <c r="H55" s="4">
        <v>32.389797000000002</v>
      </c>
      <c r="I55" s="50">
        <f t="shared" si="20"/>
        <v>0.37529021157277598</v>
      </c>
      <c r="J55" s="4">
        <v>3.3682599999999998</v>
      </c>
      <c r="K55" s="53">
        <f t="shared" si="21"/>
        <v>0.14117947858160784</v>
      </c>
    </row>
    <row r="56" spans="1:14" x14ac:dyDescent="0.25">
      <c r="A56" s="68"/>
      <c r="B56" s="81"/>
      <c r="C56" s="1" t="s">
        <v>143</v>
      </c>
      <c r="D56" s="4">
        <f t="shared" si="5"/>
        <v>0.12017</v>
      </c>
      <c r="E56" s="50">
        <f t="shared" si="18"/>
        <v>1.0125803651929186E-3</v>
      </c>
      <c r="F56" s="4">
        <v>0.12017</v>
      </c>
      <c r="G56" s="50">
        <f t="shared" si="19"/>
        <v>1.4116057793962175E-2</v>
      </c>
      <c r="H56" s="4">
        <v>0</v>
      </c>
      <c r="I56" s="50">
        <f t="shared" si="20"/>
        <v>0</v>
      </c>
      <c r="J56" s="4">
        <v>0</v>
      </c>
      <c r="K56" s="53">
        <f t="shared" si="21"/>
        <v>0</v>
      </c>
    </row>
    <row r="57" spans="1:14" x14ac:dyDescent="0.25">
      <c r="A57" s="68"/>
      <c r="B57" s="81"/>
      <c r="C57" s="1" t="s">
        <v>142</v>
      </c>
      <c r="D57" s="4">
        <f t="shared" si="5"/>
        <v>0.210087</v>
      </c>
      <c r="E57" s="50">
        <f t="shared" si="18"/>
        <v>1.770241917136429E-3</v>
      </c>
      <c r="F57" s="4">
        <v>0.16461999999999999</v>
      </c>
      <c r="G57" s="50">
        <f t="shared" si="19"/>
        <v>1.9337483848232116E-2</v>
      </c>
      <c r="H57" s="4">
        <v>3.9362000000000001E-2</v>
      </c>
      <c r="I57" s="50">
        <f t="shared" si="20"/>
        <v>4.5607489629921442E-4</v>
      </c>
      <c r="J57" s="4">
        <v>6.1050000000000002E-3</v>
      </c>
      <c r="K57" s="53">
        <f t="shared" si="21"/>
        <v>2.5588900997568952E-4</v>
      </c>
    </row>
    <row r="58" spans="1:14" x14ac:dyDescent="0.25">
      <c r="A58" s="68"/>
      <c r="B58" s="81"/>
      <c r="C58" s="1" t="s">
        <v>144</v>
      </c>
      <c r="D58" s="4">
        <f t="shared" si="5"/>
        <v>59.454001999999996</v>
      </c>
      <c r="E58" s="50">
        <f t="shared" si="18"/>
        <v>0.50097324671166266</v>
      </c>
      <c r="F58" s="4">
        <v>4.5087640000000002</v>
      </c>
      <c r="G58" s="50">
        <f t="shared" si="19"/>
        <v>0.52963279689886056</v>
      </c>
      <c r="H58" s="4">
        <v>36.117165999999997</v>
      </c>
      <c r="I58" s="50">
        <f t="shared" si="20"/>
        <v>0.41847804324148957</v>
      </c>
      <c r="J58" s="4">
        <v>18.828071999999999</v>
      </c>
      <c r="K58" s="53">
        <f t="shared" si="21"/>
        <v>0.78917226925978701</v>
      </c>
    </row>
    <row r="59" spans="1:14" x14ac:dyDescent="0.25">
      <c r="A59" s="68"/>
      <c r="B59" s="81"/>
      <c r="C59" s="1" t="s">
        <v>146</v>
      </c>
      <c r="D59" s="4">
        <f t="shared" si="5"/>
        <v>0.48044399999999998</v>
      </c>
      <c r="E59" s="50">
        <f t="shared" si="18"/>
        <v>4.0483328698905433E-3</v>
      </c>
      <c r="F59" s="4">
        <v>0</v>
      </c>
      <c r="G59" s="50">
        <f t="shared" si="19"/>
        <v>0</v>
      </c>
      <c r="H59" s="4">
        <v>0.48044399999999998</v>
      </c>
      <c r="I59" s="50">
        <f t="shared" si="20"/>
        <v>5.566750863207656E-3</v>
      </c>
      <c r="J59" s="4">
        <v>0</v>
      </c>
      <c r="K59" s="53">
        <f t="shared" si="21"/>
        <v>0</v>
      </c>
    </row>
    <row r="60" spans="1:14" ht="15.75" thickBot="1" x14ac:dyDescent="0.3">
      <c r="A60" s="69"/>
      <c r="B60" s="82"/>
      <c r="C60" s="40" t="s">
        <v>145</v>
      </c>
      <c r="D60" s="41">
        <f t="shared" si="5"/>
        <v>5.9305999999999998E-2</v>
      </c>
      <c r="E60" s="51">
        <f t="shared" si="18"/>
        <v>4.9972614744221711E-4</v>
      </c>
      <c r="F60" s="41">
        <v>4.7030000000000002E-2</v>
      </c>
      <c r="G60" s="51">
        <f t="shared" si="19"/>
        <v>5.5244919534829092E-3</v>
      </c>
      <c r="H60" s="41">
        <v>7.8779999999999996E-3</v>
      </c>
      <c r="I60" s="51">
        <f t="shared" si="20"/>
        <v>9.1279864667578157E-5</v>
      </c>
      <c r="J60" s="41">
        <v>4.398E-3</v>
      </c>
      <c r="K60" s="54">
        <f t="shared" si="21"/>
        <v>1.8434068237069328E-4</v>
      </c>
    </row>
    <row r="61" spans="1:14" x14ac:dyDescent="0.25">
      <c r="A61" s="67" t="s">
        <v>114</v>
      </c>
      <c r="B61" s="78">
        <f>B4/C16</f>
        <v>9.5280771678356579E-3</v>
      </c>
      <c r="C61" s="35" t="s">
        <v>114</v>
      </c>
      <c r="D61" s="36">
        <f t="shared" si="5"/>
        <v>3.9592719999999999</v>
      </c>
      <c r="E61" s="37">
        <f>D61/6.548</f>
        <v>0.60465363469761757</v>
      </c>
      <c r="F61" s="36">
        <v>0.80316799999999999</v>
      </c>
      <c r="G61" s="37">
        <f>F61/1.287</f>
        <v>0.62406216006216009</v>
      </c>
      <c r="H61" s="36">
        <v>2.177181</v>
      </c>
      <c r="I61" s="37">
        <f>H61/3.944</f>
        <v>0.55202358012170383</v>
      </c>
      <c r="J61" s="36">
        <v>0.97892299999999999</v>
      </c>
      <c r="K61" s="38">
        <f>J61/1.317</f>
        <v>0.74329764616552774</v>
      </c>
    </row>
    <row r="62" spans="1:14" x14ac:dyDescent="0.25">
      <c r="A62" s="68"/>
      <c r="B62" s="81"/>
      <c r="C62" s="1" t="s">
        <v>147</v>
      </c>
      <c r="D62" s="4">
        <f t="shared" si="5"/>
        <v>4.9190000000000006E-3</v>
      </c>
      <c r="E62" s="50">
        <f t="shared" ref="E62:E63" si="22">D62/6.548</f>
        <v>7.5122174709835068E-4</v>
      </c>
      <c r="F62" s="4">
        <v>0</v>
      </c>
      <c r="G62" s="50">
        <f t="shared" ref="G62:G63" si="23">F62/1.287</f>
        <v>0</v>
      </c>
      <c r="H62" s="4">
        <v>7.5299999999999998E-4</v>
      </c>
      <c r="I62" s="50">
        <f t="shared" ref="I62:I63" si="24">H62/3.944</f>
        <v>1.9092292089249494E-4</v>
      </c>
      <c r="J62" s="4">
        <v>4.1660000000000004E-3</v>
      </c>
      <c r="K62" s="53">
        <f t="shared" ref="K62:K63" si="25">J62/1.317</f>
        <v>3.16324981017464E-3</v>
      </c>
    </row>
    <row r="63" spans="1:14" ht="15.75" thickBot="1" x14ac:dyDescent="0.3">
      <c r="A63" s="69"/>
      <c r="B63" s="82"/>
      <c r="C63" s="40" t="s">
        <v>148</v>
      </c>
      <c r="D63" s="41">
        <f t="shared" si="5"/>
        <v>2.5836839999999999</v>
      </c>
      <c r="E63" s="51">
        <f t="shared" si="22"/>
        <v>0.39457605375687232</v>
      </c>
      <c r="F63" s="41">
        <v>0.483991</v>
      </c>
      <c r="G63" s="51">
        <f t="shared" si="23"/>
        <v>0.37606138306138309</v>
      </c>
      <c r="H63" s="41">
        <v>1.765639</v>
      </c>
      <c r="I63" s="51">
        <f t="shared" si="24"/>
        <v>0.4476772312373225</v>
      </c>
      <c r="J63" s="41">
        <v>0.33405400000000002</v>
      </c>
      <c r="K63" s="54">
        <f t="shared" si="25"/>
        <v>0.25364768413059985</v>
      </c>
      <c r="N63" s="32"/>
    </row>
    <row r="64" spans="1:14" ht="15.75" thickBot="1" x14ac:dyDescent="0.3">
      <c r="A64" s="45" t="s">
        <v>42</v>
      </c>
      <c r="B64" s="56">
        <f>B10/C16</f>
        <v>4.6303623076730246E-4</v>
      </c>
      <c r="C64" s="46" t="s">
        <v>149</v>
      </c>
      <c r="D64" s="47">
        <f t="shared" si="5"/>
        <v>0.31820800000000005</v>
      </c>
      <c r="E64" s="49">
        <v>1</v>
      </c>
      <c r="F64" s="47">
        <v>2.3056E-2</v>
      </c>
      <c r="G64" s="49">
        <v>1</v>
      </c>
      <c r="H64" s="47">
        <v>0.29514600000000002</v>
      </c>
      <c r="I64" s="49">
        <v>1</v>
      </c>
      <c r="J64" s="47">
        <v>6.0000000000000002E-6</v>
      </c>
      <c r="K64" s="52">
        <v>1</v>
      </c>
    </row>
    <row r="65" spans="1:15" x14ac:dyDescent="0.25">
      <c r="A65" s="77" t="s">
        <v>41</v>
      </c>
      <c r="B65" s="81">
        <f>B9/C16</f>
        <v>5.8295757905843133E-3</v>
      </c>
      <c r="C65" s="33" t="s">
        <v>150</v>
      </c>
      <c r="D65" s="34">
        <f t="shared" si="5"/>
        <v>0.53054800000000002</v>
      </c>
      <c r="E65" s="50">
        <f>D65/4.006</f>
        <v>0.13243834248627059</v>
      </c>
      <c r="F65" s="34">
        <v>1.0459E-2</v>
      </c>
      <c r="G65" s="50">
        <f>F65/0.211</f>
        <v>4.9568720379146919E-2</v>
      </c>
      <c r="H65" s="34">
        <v>0.19717100000000001</v>
      </c>
      <c r="I65" s="50">
        <f>H65/3.369</f>
        <v>5.8525081626595428E-2</v>
      </c>
      <c r="J65" s="34">
        <v>0.32291799999999998</v>
      </c>
      <c r="K65" s="53">
        <f>J65/0.426</f>
        <v>0.75802347417840377</v>
      </c>
    </row>
    <row r="66" spans="1:15" x14ac:dyDescent="0.25">
      <c r="A66" s="68"/>
      <c r="B66" s="81"/>
      <c r="C66" s="1" t="s">
        <v>151</v>
      </c>
      <c r="D66" s="4">
        <f t="shared" si="5"/>
        <v>0.361508</v>
      </c>
      <c r="E66" s="3">
        <f t="shared" ref="E66:E75" si="26">D66/4.006</f>
        <v>9.0241637543684472E-2</v>
      </c>
      <c r="F66" s="4">
        <v>0</v>
      </c>
      <c r="G66" s="3">
        <f t="shared" ref="G66:G75" si="27">F66/0.211</f>
        <v>0</v>
      </c>
      <c r="H66" s="4">
        <v>0.361508</v>
      </c>
      <c r="I66" s="3">
        <f t="shared" ref="I66:I75" si="28">H66/3.369</f>
        <v>0.1073042445829623</v>
      </c>
      <c r="J66" s="4">
        <v>0</v>
      </c>
      <c r="K66" s="39">
        <f t="shared" ref="K66:K75" si="29">J66/0.426</f>
        <v>0</v>
      </c>
    </row>
    <row r="67" spans="1:15" x14ac:dyDescent="0.25">
      <c r="A67" s="68"/>
      <c r="B67" s="81"/>
      <c r="C67" s="1" t="s">
        <v>152</v>
      </c>
      <c r="D67" s="4">
        <f t="shared" si="5"/>
        <v>1.4220999999999999E-2</v>
      </c>
      <c r="E67" s="3">
        <f t="shared" si="26"/>
        <v>3.5499251123315024E-3</v>
      </c>
      <c r="F67" s="4">
        <v>0</v>
      </c>
      <c r="G67" s="3">
        <f t="shared" si="27"/>
        <v>0</v>
      </c>
      <c r="H67" s="4">
        <v>1.4220999999999999E-2</v>
      </c>
      <c r="I67" s="3">
        <f t="shared" si="28"/>
        <v>4.2211338676165031E-3</v>
      </c>
      <c r="J67" s="4">
        <v>0</v>
      </c>
      <c r="K67" s="39">
        <f t="shared" si="29"/>
        <v>0</v>
      </c>
    </row>
    <row r="68" spans="1:15" x14ac:dyDescent="0.25">
      <c r="A68" s="68"/>
      <c r="B68" s="81"/>
      <c r="C68" s="1" t="s">
        <v>153</v>
      </c>
      <c r="D68" s="4">
        <f t="shared" si="5"/>
        <v>1.011174</v>
      </c>
      <c r="E68" s="3">
        <f t="shared" si="26"/>
        <v>0.25241487768347476</v>
      </c>
      <c r="F68" s="4">
        <v>1.8253999999999999E-2</v>
      </c>
      <c r="G68" s="3">
        <f t="shared" si="27"/>
        <v>8.6511848341232225E-2</v>
      </c>
      <c r="H68" s="4">
        <v>0.99292000000000002</v>
      </c>
      <c r="I68" s="3">
        <f t="shared" si="28"/>
        <v>0.29472246957554171</v>
      </c>
      <c r="J68" s="4">
        <v>0</v>
      </c>
      <c r="K68" s="39">
        <f t="shared" si="29"/>
        <v>0</v>
      </c>
    </row>
    <row r="69" spans="1:15" x14ac:dyDescent="0.25">
      <c r="A69" s="68"/>
      <c r="B69" s="81"/>
      <c r="C69" s="1" t="s">
        <v>154</v>
      </c>
      <c r="D69" s="4">
        <f t="shared" si="5"/>
        <v>0.54153099999999998</v>
      </c>
      <c r="E69" s="3">
        <f t="shared" si="26"/>
        <v>0.13517998002995504</v>
      </c>
      <c r="F69" s="4">
        <v>0</v>
      </c>
      <c r="G69" s="3">
        <f t="shared" si="27"/>
        <v>0</v>
      </c>
      <c r="H69" s="4">
        <v>0.4899</v>
      </c>
      <c r="I69" s="3">
        <f t="shared" si="28"/>
        <v>0.1454140694568121</v>
      </c>
      <c r="J69" s="4">
        <v>5.1631000000000003E-2</v>
      </c>
      <c r="K69" s="39">
        <f t="shared" si="29"/>
        <v>0.12119953051643194</v>
      </c>
      <c r="O69" s="32"/>
    </row>
    <row r="70" spans="1:15" x14ac:dyDescent="0.25">
      <c r="A70" s="68"/>
      <c r="B70" s="81"/>
      <c r="C70" s="1" t="s">
        <v>155</v>
      </c>
      <c r="D70" s="4">
        <f t="shared" si="5"/>
        <v>2.6559999999999999E-3</v>
      </c>
      <c r="E70" s="3">
        <f t="shared" si="26"/>
        <v>6.6300549176235646E-4</v>
      </c>
      <c r="F70" s="4">
        <v>2.6559999999999999E-3</v>
      </c>
      <c r="G70" s="3">
        <f t="shared" si="27"/>
        <v>1.2587677725118483E-2</v>
      </c>
      <c r="H70" s="4">
        <v>0</v>
      </c>
      <c r="I70" s="3">
        <f t="shared" si="28"/>
        <v>0</v>
      </c>
      <c r="J70" s="4">
        <v>0</v>
      </c>
      <c r="K70" s="39">
        <f t="shared" si="29"/>
        <v>0</v>
      </c>
    </row>
    <row r="71" spans="1:15" x14ac:dyDescent="0.25">
      <c r="A71" s="68"/>
      <c r="B71" s="81"/>
      <c r="C71" s="1" t="s">
        <v>156</v>
      </c>
      <c r="D71" s="4">
        <f t="shared" si="5"/>
        <v>0.99186799999999997</v>
      </c>
      <c r="E71" s="3">
        <f t="shared" si="26"/>
        <v>0.24759560659011481</v>
      </c>
      <c r="F71" s="4">
        <v>1.4392E-2</v>
      </c>
      <c r="G71" s="3">
        <f t="shared" si="27"/>
        <v>6.8208530805687201E-2</v>
      </c>
      <c r="H71" s="4">
        <v>0.92669900000000005</v>
      </c>
      <c r="I71" s="3">
        <f t="shared" si="28"/>
        <v>0.27506648857227661</v>
      </c>
      <c r="J71" s="4">
        <v>5.0777000000000003E-2</v>
      </c>
      <c r="K71" s="39">
        <f t="shared" si="29"/>
        <v>0.11919483568075118</v>
      </c>
    </row>
    <row r="72" spans="1:15" x14ac:dyDescent="0.25">
      <c r="A72" s="68"/>
      <c r="B72" s="81"/>
      <c r="C72" s="1" t="s">
        <v>157</v>
      </c>
      <c r="D72" s="4">
        <f t="shared" si="5"/>
        <v>0.37091099999999999</v>
      </c>
      <c r="E72" s="3">
        <f t="shared" si="26"/>
        <v>9.2588866699950062E-2</v>
      </c>
      <c r="F72" s="4">
        <v>0</v>
      </c>
      <c r="G72" s="3">
        <f t="shared" si="27"/>
        <v>0</v>
      </c>
      <c r="H72" s="4">
        <v>0.37091099999999999</v>
      </c>
      <c r="I72" s="3">
        <f t="shared" si="28"/>
        <v>0.11009528049866428</v>
      </c>
      <c r="J72" s="4">
        <v>0</v>
      </c>
      <c r="K72" s="39">
        <f t="shared" si="29"/>
        <v>0</v>
      </c>
    </row>
    <row r="73" spans="1:15" x14ac:dyDescent="0.25">
      <c r="A73" s="68"/>
      <c r="B73" s="81"/>
      <c r="C73" s="1" t="s">
        <v>158</v>
      </c>
      <c r="D73" s="4">
        <f t="shared" si="5"/>
        <v>7.4869999999999997E-3</v>
      </c>
      <c r="E73" s="3">
        <f t="shared" si="26"/>
        <v>1.8689465801298051E-3</v>
      </c>
      <c r="F73" s="4">
        <v>0</v>
      </c>
      <c r="G73" s="3">
        <f t="shared" si="27"/>
        <v>0</v>
      </c>
      <c r="H73" s="4">
        <v>7.4869999999999997E-3</v>
      </c>
      <c r="I73" s="3">
        <f t="shared" si="28"/>
        <v>2.2223211635500144E-3</v>
      </c>
      <c r="J73" s="4">
        <v>0</v>
      </c>
      <c r="K73" s="39">
        <f t="shared" si="29"/>
        <v>0</v>
      </c>
    </row>
    <row r="74" spans="1:15" x14ac:dyDescent="0.25">
      <c r="A74" s="68"/>
      <c r="B74" s="81"/>
      <c r="C74" s="1" t="s">
        <v>159</v>
      </c>
      <c r="D74" s="4">
        <f t="shared" si="5"/>
        <v>1.8161E-2</v>
      </c>
      <c r="E74" s="3">
        <f t="shared" si="26"/>
        <v>4.5334498252621062E-3</v>
      </c>
      <c r="F74" s="4">
        <v>1.8161E-2</v>
      </c>
      <c r="G74" s="3">
        <f t="shared" si="27"/>
        <v>8.607109004739337E-2</v>
      </c>
      <c r="H74" s="4">
        <v>0</v>
      </c>
      <c r="I74" s="3">
        <f t="shared" si="28"/>
        <v>0</v>
      </c>
      <c r="J74" s="4">
        <v>0</v>
      </c>
      <c r="K74" s="39">
        <f t="shared" si="29"/>
        <v>0</v>
      </c>
    </row>
    <row r="75" spans="1:15" ht="15.75" thickBot="1" x14ac:dyDescent="0.3">
      <c r="A75" s="69"/>
      <c r="B75" s="82"/>
      <c r="C75" s="40" t="s">
        <v>160</v>
      </c>
      <c r="D75" s="41">
        <f t="shared" si="5"/>
        <v>0.15612799999999999</v>
      </c>
      <c r="E75" s="42">
        <f t="shared" si="26"/>
        <v>3.8973539690464298E-2</v>
      </c>
      <c r="F75" s="41">
        <v>0.147174</v>
      </c>
      <c r="G75" s="42">
        <f t="shared" si="27"/>
        <v>0.69750710900473933</v>
      </c>
      <c r="H75" s="41">
        <v>8.43E-3</v>
      </c>
      <c r="I75" s="42">
        <f t="shared" si="28"/>
        <v>2.5022261798753336E-3</v>
      </c>
      <c r="J75" s="41">
        <v>5.2400000000000005E-4</v>
      </c>
      <c r="K75" s="44">
        <f t="shared" si="29"/>
        <v>1.2300469483568076E-3</v>
      </c>
    </row>
    <row r="76" spans="1:15" x14ac:dyDescent="0.25">
      <c r="D76" s="32"/>
    </row>
    <row r="77" spans="1:15" x14ac:dyDescent="0.25">
      <c r="A77" t="s">
        <v>164</v>
      </c>
    </row>
  </sheetData>
  <mergeCells count="21">
    <mergeCell ref="A39:A45"/>
    <mergeCell ref="A46:A60"/>
    <mergeCell ref="A61:A63"/>
    <mergeCell ref="A65:A75"/>
    <mergeCell ref="B35:B38"/>
    <mergeCell ref="B39:B45"/>
    <mergeCell ref="B46:B60"/>
    <mergeCell ref="B61:B63"/>
    <mergeCell ref="B65:B75"/>
    <mergeCell ref="J21:K21"/>
    <mergeCell ref="A23:A33"/>
    <mergeCell ref="B23:B33"/>
    <mergeCell ref="A21:B21"/>
    <mergeCell ref="A35:A38"/>
    <mergeCell ref="B1:C1"/>
    <mergeCell ref="D1:E1"/>
    <mergeCell ref="F1:G1"/>
    <mergeCell ref="H1:I1"/>
    <mergeCell ref="D21:E21"/>
    <mergeCell ref="F21:G21"/>
    <mergeCell ref="H21:I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23" sqref="A23"/>
    </sheetView>
  </sheetViews>
  <sheetFormatPr defaultRowHeight="15" x14ac:dyDescent="0.25"/>
  <cols>
    <col min="1" max="1" width="60.42578125" bestFit="1" customWidth="1"/>
    <col min="2" max="2" width="12.28515625" bestFit="1" customWidth="1"/>
    <col min="3" max="3" width="11" bestFit="1" customWidth="1"/>
    <col min="4" max="4" width="11.85546875" bestFit="1" customWidth="1"/>
    <col min="5" max="5" width="13.7109375" bestFit="1" customWidth="1"/>
  </cols>
  <sheetData>
    <row r="1" spans="1:8" x14ac:dyDescent="0.25">
      <c r="B1" s="14" t="s">
        <v>32</v>
      </c>
      <c r="C1" s="14" t="s">
        <v>33</v>
      </c>
      <c r="D1" s="14" t="s">
        <v>34</v>
      </c>
      <c r="E1" s="14" t="s">
        <v>31</v>
      </c>
      <c r="F1" s="12"/>
      <c r="G1" s="5"/>
      <c r="H1" s="12"/>
    </row>
    <row r="2" spans="1:8" x14ac:dyDescent="0.25">
      <c r="A2" s="1" t="s">
        <v>175</v>
      </c>
      <c r="B2" s="64" t="s">
        <v>45</v>
      </c>
      <c r="C2" s="64"/>
      <c r="D2" s="64"/>
      <c r="E2" s="64"/>
      <c r="F2" s="13"/>
      <c r="G2" s="5"/>
      <c r="H2" s="5"/>
    </row>
    <row r="3" spans="1:8" x14ac:dyDescent="0.25">
      <c r="A3" s="1" t="s">
        <v>46</v>
      </c>
      <c r="B3" s="4">
        <v>17.712572999999999</v>
      </c>
      <c r="C3" s="4">
        <v>54.726692999999997</v>
      </c>
      <c r="D3" s="4">
        <v>4.7817069999999999</v>
      </c>
      <c r="E3" s="4">
        <f>SUM(B3:D3)</f>
        <v>77.220973000000001</v>
      </c>
      <c r="F3" s="5"/>
      <c r="G3" s="5"/>
      <c r="H3" s="5"/>
    </row>
    <row r="4" spans="1:8" x14ac:dyDescent="0.25">
      <c r="A4" s="1" t="s">
        <v>47</v>
      </c>
      <c r="B4" s="4">
        <v>19.622710000000001</v>
      </c>
      <c r="C4" s="4">
        <v>24.217527</v>
      </c>
      <c r="D4" s="4">
        <v>7.856744</v>
      </c>
      <c r="E4" s="4">
        <f t="shared" ref="E4:E14" si="0">SUM(B4:D4)</f>
        <v>51.696981000000001</v>
      </c>
      <c r="F4" s="5"/>
      <c r="G4" s="5"/>
      <c r="H4" s="5"/>
    </row>
    <row r="5" spans="1:8" x14ac:dyDescent="0.25">
      <c r="A5" s="1" t="s">
        <v>165</v>
      </c>
      <c r="B5" s="4">
        <v>0.21288599999999999</v>
      </c>
      <c r="C5" s="4">
        <v>0.40201599999999998</v>
      </c>
      <c r="D5" s="4">
        <v>0.19686200000000001</v>
      </c>
      <c r="E5" s="4">
        <f t="shared" si="0"/>
        <v>0.81176399999999993</v>
      </c>
      <c r="F5" s="5"/>
      <c r="G5" s="5"/>
      <c r="H5" s="5"/>
    </row>
    <row r="6" spans="1:8" x14ac:dyDescent="0.25">
      <c r="A6" s="1" t="s">
        <v>166</v>
      </c>
      <c r="B6" s="4">
        <v>1.736707</v>
      </c>
      <c r="C6" s="4">
        <v>0.66872900000000002</v>
      </c>
      <c r="D6" s="4">
        <v>0</v>
      </c>
      <c r="E6" s="4">
        <f t="shared" si="0"/>
        <v>2.4054359999999999</v>
      </c>
      <c r="F6" s="5"/>
      <c r="G6" s="5"/>
      <c r="H6" s="5"/>
    </row>
    <row r="7" spans="1:8" x14ac:dyDescent="0.25">
      <c r="A7" s="1" t="s">
        <v>167</v>
      </c>
      <c r="B7" s="4">
        <v>117.125443</v>
      </c>
      <c r="C7" s="4">
        <v>163.27839499999999</v>
      </c>
      <c r="D7" s="4">
        <v>90.250926000000007</v>
      </c>
      <c r="E7" s="4">
        <f t="shared" si="0"/>
        <v>370.654764</v>
      </c>
      <c r="F7" s="5"/>
      <c r="G7" s="5"/>
      <c r="H7" s="5"/>
    </row>
    <row r="8" spans="1:8" x14ac:dyDescent="0.25">
      <c r="A8" s="1" t="s">
        <v>168</v>
      </c>
      <c r="B8">
        <v>0</v>
      </c>
      <c r="C8">
        <v>0.44398399999999999</v>
      </c>
      <c r="D8">
        <v>0</v>
      </c>
      <c r="E8" s="4">
        <f t="shared" si="0"/>
        <v>0.44398399999999999</v>
      </c>
      <c r="F8" s="5"/>
      <c r="G8" s="5"/>
      <c r="H8" s="5"/>
    </row>
    <row r="9" spans="1:8" x14ac:dyDescent="0.25">
      <c r="A9" s="1" t="s">
        <v>169</v>
      </c>
      <c r="B9" s="4">
        <v>285.31271199999998</v>
      </c>
      <c r="C9" s="4">
        <v>557.01664200000005</v>
      </c>
      <c r="D9" s="4">
        <v>852.14766299999997</v>
      </c>
      <c r="E9" s="4">
        <f t="shared" si="0"/>
        <v>1694.4770169999999</v>
      </c>
      <c r="F9" s="5"/>
      <c r="G9" s="5"/>
      <c r="H9" s="5"/>
    </row>
    <row r="10" spans="1:8" x14ac:dyDescent="0.25">
      <c r="A10" s="1" t="s">
        <v>170</v>
      </c>
      <c r="B10" s="4">
        <v>9.3841999999999995E-2</v>
      </c>
      <c r="C10" s="4">
        <v>0</v>
      </c>
      <c r="D10" s="4">
        <v>0.98323300000000002</v>
      </c>
      <c r="E10" s="4">
        <f t="shared" si="0"/>
        <v>1.077075</v>
      </c>
      <c r="F10" s="5"/>
      <c r="G10" s="5"/>
      <c r="H10" s="5"/>
    </row>
    <row r="11" spans="1:8" x14ac:dyDescent="0.25">
      <c r="A11" s="1" t="s">
        <v>171</v>
      </c>
      <c r="B11" s="4">
        <v>4.0186279999999996</v>
      </c>
      <c r="C11" s="4">
        <v>7.6806570000000001</v>
      </c>
      <c r="D11" s="4">
        <v>44.210287000000001</v>
      </c>
      <c r="E11" s="4">
        <f t="shared" si="0"/>
        <v>55.909571999999997</v>
      </c>
      <c r="F11" s="5"/>
      <c r="G11" s="5"/>
      <c r="H11" s="5"/>
    </row>
    <row r="12" spans="1:8" x14ac:dyDescent="0.25">
      <c r="A12" s="23" t="s">
        <v>172</v>
      </c>
      <c r="B12" s="4">
        <v>3.4491689999999999</v>
      </c>
      <c r="C12" s="4">
        <v>0.115093</v>
      </c>
      <c r="D12" s="4">
        <v>4.0070170000000003</v>
      </c>
      <c r="E12" s="4">
        <f t="shared" si="0"/>
        <v>7.5712790000000005</v>
      </c>
    </row>
    <row r="13" spans="1:8" x14ac:dyDescent="0.25">
      <c r="A13" s="23" t="s">
        <v>173</v>
      </c>
      <c r="B13" s="1">
        <v>50.963867</v>
      </c>
      <c r="C13" s="1">
        <v>110.67804</v>
      </c>
      <c r="D13" s="1">
        <v>42.673208000000002</v>
      </c>
      <c r="E13" s="4">
        <f t="shared" si="0"/>
        <v>204.31511499999999</v>
      </c>
    </row>
    <row r="14" spans="1:8" x14ac:dyDescent="0.25">
      <c r="A14" s="23" t="s">
        <v>174</v>
      </c>
      <c r="B14" s="1">
        <v>0</v>
      </c>
      <c r="C14" s="1">
        <v>1.7159720000000001</v>
      </c>
      <c r="D14" s="1">
        <v>0.54743600000000003</v>
      </c>
      <c r="E14" s="4">
        <f t="shared" si="0"/>
        <v>2.2634080000000001</v>
      </c>
    </row>
    <row r="15" spans="1:8" x14ac:dyDescent="0.25">
      <c r="B15" s="4">
        <f>SUM(B3:B14)</f>
        <v>500.24853699999994</v>
      </c>
      <c r="C15" s="4">
        <f t="shared" ref="C15:E15" si="1">SUM(C3:C14)</f>
        <v>920.94374800000003</v>
      </c>
      <c r="D15" s="4">
        <f t="shared" si="1"/>
        <v>1047.6550830000001</v>
      </c>
      <c r="E15" s="4">
        <f t="shared" si="1"/>
        <v>2468.8473679999997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18" sqref="A18:B22"/>
    </sheetView>
  </sheetViews>
  <sheetFormatPr defaultRowHeight="15" x14ac:dyDescent="0.25"/>
  <cols>
    <col min="1" max="1" width="29.7109375" bestFit="1" customWidth="1"/>
    <col min="2" max="2" width="12.85546875" bestFit="1" customWidth="1"/>
    <col min="3" max="3" width="13.85546875" bestFit="1" customWidth="1"/>
    <col min="5" max="5" width="13.85546875" bestFit="1" customWidth="1"/>
    <col min="7" max="7" width="13.85546875" bestFit="1" customWidth="1"/>
    <col min="9" max="9" width="13.85546875" bestFit="1" customWidth="1"/>
  </cols>
  <sheetData>
    <row r="1" spans="1:9" x14ac:dyDescent="0.25">
      <c r="B1" s="64" t="s">
        <v>31</v>
      </c>
      <c r="C1" s="64"/>
      <c r="D1" s="64" t="s">
        <v>32</v>
      </c>
      <c r="E1" s="64"/>
      <c r="F1" s="64" t="s">
        <v>33</v>
      </c>
      <c r="G1" s="64"/>
      <c r="H1" s="64" t="s">
        <v>34</v>
      </c>
      <c r="I1" s="64"/>
    </row>
    <row r="2" spans="1:9" x14ac:dyDescent="0.25">
      <c r="A2" s="1" t="s">
        <v>68</v>
      </c>
      <c r="B2" s="11" t="s">
        <v>29</v>
      </c>
      <c r="C2" s="11" t="s">
        <v>66</v>
      </c>
      <c r="D2" s="11" t="s">
        <v>29</v>
      </c>
      <c r="E2" s="11" t="s">
        <v>66</v>
      </c>
      <c r="F2" s="11" t="s">
        <v>29</v>
      </c>
      <c r="G2" s="11" t="s">
        <v>66</v>
      </c>
      <c r="H2" s="11" t="s">
        <v>29</v>
      </c>
      <c r="I2" s="11" t="s">
        <v>66</v>
      </c>
    </row>
    <row r="3" spans="1:9" x14ac:dyDescent="0.25">
      <c r="A3" s="1" t="s">
        <v>48</v>
      </c>
      <c r="B3" s="4">
        <f>D3+F3+H3</f>
        <v>6.2961519999999993</v>
      </c>
      <c r="C3" s="3">
        <f>B3/689.3705</f>
        <v>9.1331903526478131E-3</v>
      </c>
      <c r="D3" s="4">
        <v>1.07636</v>
      </c>
      <c r="E3" s="3">
        <f>D3/149.378</f>
        <v>7.2056126069434592E-3</v>
      </c>
      <c r="F3" s="4">
        <v>0.92861099999999996</v>
      </c>
      <c r="G3" s="3">
        <f>F3/320.275122</f>
        <v>2.8994165834710069E-3</v>
      </c>
      <c r="H3" s="4">
        <v>4.2911809999999999</v>
      </c>
      <c r="I3" s="3">
        <f>H3/219.717074</f>
        <v>1.953048491807241E-2</v>
      </c>
    </row>
    <row r="4" spans="1:9" x14ac:dyDescent="0.25">
      <c r="A4" s="1" t="s">
        <v>49</v>
      </c>
      <c r="B4" s="4">
        <f t="shared" ref="B4:B15" si="0">D4+F4+H4</f>
        <v>6.4497850000000003</v>
      </c>
      <c r="C4" s="3">
        <f t="shared" ref="C4:C16" si="1">B4/689.3705</f>
        <v>9.3560501936186709E-3</v>
      </c>
      <c r="D4" s="4">
        <v>1.660056</v>
      </c>
      <c r="E4" s="3">
        <f t="shared" ref="E4:E15" si="2">D4/149.378</f>
        <v>1.1113122414277874E-2</v>
      </c>
      <c r="F4" s="4">
        <v>0.70922200000000002</v>
      </c>
      <c r="G4" s="3">
        <f t="shared" ref="G4:G15" si="3">F4/320.275122</f>
        <v>2.2144148929556882E-3</v>
      </c>
      <c r="H4" s="4">
        <v>4.0805069999999999</v>
      </c>
      <c r="I4" s="3">
        <f t="shared" ref="I4:I15" si="4">H4/219.717074</f>
        <v>1.8571642729959165E-2</v>
      </c>
    </row>
    <row r="5" spans="1:9" x14ac:dyDescent="0.25">
      <c r="A5" s="1" t="s">
        <v>50</v>
      </c>
      <c r="B5" s="4">
        <f t="shared" si="0"/>
        <v>0.68458299999999994</v>
      </c>
      <c r="C5" s="3">
        <f t="shared" si="1"/>
        <v>9.9305525838427953E-4</v>
      </c>
      <c r="D5" s="4">
        <v>0.106444</v>
      </c>
      <c r="E5" s="3">
        <f t="shared" si="2"/>
        <v>7.1258150463923741E-4</v>
      </c>
      <c r="F5" s="4">
        <v>0.27928999999999998</v>
      </c>
      <c r="G5" s="3">
        <f t="shared" si="3"/>
        <v>8.7203151545439108E-4</v>
      </c>
      <c r="H5" s="4">
        <v>0.29884899999999998</v>
      </c>
      <c r="I5" s="3">
        <f t="shared" si="4"/>
        <v>1.3601537402596212E-3</v>
      </c>
    </row>
    <row r="6" spans="1:9" x14ac:dyDescent="0.25">
      <c r="A6" s="1" t="s">
        <v>51</v>
      </c>
      <c r="B6" s="4">
        <f t="shared" si="0"/>
        <v>3.8317509999999997</v>
      </c>
      <c r="C6" s="3">
        <f t="shared" si="1"/>
        <v>5.5583332910242025E-3</v>
      </c>
      <c r="D6" s="4">
        <v>2.2556539999999998</v>
      </c>
      <c r="E6" s="3">
        <f t="shared" si="2"/>
        <v>1.5100309282491398E-2</v>
      </c>
      <c r="F6" s="4">
        <v>0.47749000000000003</v>
      </c>
      <c r="G6" s="3">
        <f t="shared" si="3"/>
        <v>1.4908744613638771E-3</v>
      </c>
      <c r="H6" s="4">
        <v>1.0986069999999999</v>
      </c>
      <c r="I6" s="3">
        <f t="shared" si="4"/>
        <v>5.0000984447844954E-3</v>
      </c>
    </row>
    <row r="7" spans="1:9" x14ac:dyDescent="0.25">
      <c r="A7" s="1" t="s">
        <v>52</v>
      </c>
      <c r="B7" s="4">
        <f t="shared" si="0"/>
        <v>0.398756</v>
      </c>
      <c r="C7" s="3">
        <f t="shared" si="1"/>
        <v>5.7843496349205541E-4</v>
      </c>
      <c r="D7" s="4">
        <v>2.2197999999999999E-2</v>
      </c>
      <c r="E7" s="3">
        <f t="shared" si="2"/>
        <v>1.4860287324773395E-4</v>
      </c>
      <c r="F7" s="4">
        <v>0.376558</v>
      </c>
      <c r="G7" s="3">
        <f t="shared" si="3"/>
        <v>1.1757329062854903E-3</v>
      </c>
      <c r="H7" s="4">
        <v>0</v>
      </c>
      <c r="I7" s="3">
        <f t="shared" si="4"/>
        <v>0</v>
      </c>
    </row>
    <row r="8" spans="1:9" x14ac:dyDescent="0.25">
      <c r="A8" s="1" t="s">
        <v>53</v>
      </c>
      <c r="B8" s="4">
        <f t="shared" si="0"/>
        <v>5.9925220000000001</v>
      </c>
      <c r="C8" s="3">
        <f t="shared" si="1"/>
        <v>8.6927450478371214E-3</v>
      </c>
      <c r="D8" s="4">
        <v>0.71517900000000001</v>
      </c>
      <c r="E8" s="3">
        <f t="shared" si="2"/>
        <v>4.7877130501144749E-3</v>
      </c>
      <c r="F8" s="4">
        <v>1.6382140000000001</v>
      </c>
      <c r="G8" s="3">
        <f t="shared" si="3"/>
        <v>5.1150210786587418E-3</v>
      </c>
      <c r="H8" s="4">
        <v>3.6391290000000001</v>
      </c>
      <c r="I8" s="3">
        <f t="shared" si="4"/>
        <v>1.6562795661478724E-2</v>
      </c>
    </row>
    <row r="9" spans="1:9" x14ac:dyDescent="0.25">
      <c r="A9" s="1" t="s">
        <v>54</v>
      </c>
      <c r="B9" s="4">
        <f t="shared" si="0"/>
        <v>7.0372000000000004E-2</v>
      </c>
      <c r="C9" s="3">
        <f t="shared" si="1"/>
        <v>1.0208153670631395E-4</v>
      </c>
      <c r="D9" s="4">
        <v>6.901E-3</v>
      </c>
      <c r="E9" s="3">
        <f t="shared" si="2"/>
        <v>4.6198235349248222E-5</v>
      </c>
      <c r="F9" s="4">
        <v>0</v>
      </c>
      <c r="G9" s="3">
        <f t="shared" si="3"/>
        <v>0</v>
      </c>
      <c r="H9" s="4">
        <v>6.3471E-2</v>
      </c>
      <c r="I9" s="3">
        <f t="shared" si="4"/>
        <v>2.888760479306219E-4</v>
      </c>
    </row>
    <row r="10" spans="1:9" x14ac:dyDescent="0.25">
      <c r="A10" s="1" t="s">
        <v>55</v>
      </c>
      <c r="B10" s="4">
        <f t="shared" si="0"/>
        <v>12.535102999999999</v>
      </c>
      <c r="C10" s="3">
        <f t="shared" si="1"/>
        <v>1.818340500500094E-2</v>
      </c>
      <c r="D10" s="4">
        <v>0.80859700000000001</v>
      </c>
      <c r="E10" s="3">
        <f t="shared" si="2"/>
        <v>5.4130929588025014E-3</v>
      </c>
      <c r="F10" s="4">
        <v>1.652147</v>
      </c>
      <c r="G10" s="3">
        <f t="shared" si="3"/>
        <v>5.1585243014910164E-3</v>
      </c>
      <c r="H10" s="4">
        <v>10.074358999999999</v>
      </c>
      <c r="I10" s="3">
        <f t="shared" si="4"/>
        <v>4.5851507197842985E-2</v>
      </c>
    </row>
    <row r="11" spans="1:9" x14ac:dyDescent="0.25">
      <c r="A11" s="1" t="s">
        <v>56</v>
      </c>
      <c r="B11" s="4">
        <f t="shared" si="0"/>
        <v>0.28862100000000002</v>
      </c>
      <c r="C11" s="3">
        <f t="shared" si="1"/>
        <v>4.1867326785814018E-4</v>
      </c>
      <c r="D11" s="4">
        <v>5.352E-3</v>
      </c>
      <c r="E11" s="3">
        <f t="shared" si="2"/>
        <v>3.5828569133339587E-5</v>
      </c>
      <c r="F11" s="4">
        <v>0.23613000000000001</v>
      </c>
      <c r="G11" s="3">
        <f t="shared" si="3"/>
        <v>7.3727237546723974E-4</v>
      </c>
      <c r="H11" s="4">
        <v>4.7139E-2</v>
      </c>
      <c r="I11" s="3">
        <f t="shared" si="4"/>
        <v>2.1454409137088728E-4</v>
      </c>
    </row>
    <row r="12" spans="1:9" x14ac:dyDescent="0.25">
      <c r="A12" s="1" t="s">
        <v>57</v>
      </c>
      <c r="B12" s="4">
        <f t="shared" si="0"/>
        <v>8.5552670000000006</v>
      </c>
      <c r="C12" s="3">
        <f t="shared" si="1"/>
        <v>1.2410259794986877E-2</v>
      </c>
      <c r="D12" s="4">
        <v>4.3255590000000002</v>
      </c>
      <c r="E12" s="3">
        <f t="shared" si="2"/>
        <v>2.8957135588908677E-2</v>
      </c>
      <c r="F12" s="4">
        <v>0.78137800000000002</v>
      </c>
      <c r="G12" s="3">
        <f t="shared" si="3"/>
        <v>2.4397086952011216E-3</v>
      </c>
      <c r="H12" s="4">
        <v>3.4483299999999999</v>
      </c>
      <c r="I12" s="3">
        <f t="shared" si="4"/>
        <v>1.5694410712933489E-2</v>
      </c>
    </row>
    <row r="13" spans="1:9" x14ac:dyDescent="0.25">
      <c r="A13" s="1" t="s">
        <v>58</v>
      </c>
      <c r="B13" s="4">
        <f t="shared" si="0"/>
        <v>2.7663699999999998</v>
      </c>
      <c r="C13" s="3">
        <f t="shared" si="1"/>
        <v>4.0128929218758271E-3</v>
      </c>
      <c r="D13" s="4">
        <v>0.46672999999999998</v>
      </c>
      <c r="E13" s="3">
        <f t="shared" si="2"/>
        <v>3.1244895500006694E-3</v>
      </c>
      <c r="F13" s="4">
        <v>0.74283699999999997</v>
      </c>
      <c r="G13" s="3">
        <f t="shared" si="3"/>
        <v>2.3193715308302966E-3</v>
      </c>
      <c r="H13" s="4">
        <v>1.5568029999999999</v>
      </c>
      <c r="I13" s="3">
        <f t="shared" si="4"/>
        <v>7.0854894053431639E-3</v>
      </c>
    </row>
    <row r="14" spans="1:9" x14ac:dyDescent="0.25">
      <c r="A14" s="1" t="s">
        <v>59</v>
      </c>
      <c r="B14" s="4">
        <f t="shared" si="0"/>
        <v>3.9516070000000001</v>
      </c>
      <c r="C14" s="3">
        <f t="shared" si="1"/>
        <v>5.7321962573101118E-3</v>
      </c>
      <c r="D14" s="4">
        <v>2.1251380000000002</v>
      </c>
      <c r="E14" s="3">
        <f t="shared" si="2"/>
        <v>1.4226579549866784E-2</v>
      </c>
      <c r="F14" s="4">
        <v>0.366919</v>
      </c>
      <c r="G14" s="3">
        <f t="shared" si="3"/>
        <v>1.1456369065093979E-3</v>
      </c>
      <c r="H14" s="4">
        <v>1.4595499999999999</v>
      </c>
      <c r="I14" s="3">
        <f t="shared" si="4"/>
        <v>6.6428610823390079E-3</v>
      </c>
    </row>
    <row r="15" spans="1:9" x14ac:dyDescent="0.25">
      <c r="A15" s="1" t="s">
        <v>60</v>
      </c>
      <c r="B15" s="4">
        <f t="shared" si="0"/>
        <v>0.74550099999999997</v>
      </c>
      <c r="C15" s="3">
        <f t="shared" si="1"/>
        <v>1.0814228343104324E-3</v>
      </c>
      <c r="D15" s="4">
        <v>4.4816000000000002E-2</v>
      </c>
      <c r="E15" s="3">
        <f t="shared" si="2"/>
        <v>3.0001740550817394E-4</v>
      </c>
      <c r="F15" s="16">
        <v>0</v>
      </c>
      <c r="G15" s="3">
        <f t="shared" si="3"/>
        <v>0</v>
      </c>
      <c r="H15" s="4">
        <v>0.700685</v>
      </c>
      <c r="I15" s="3">
        <f t="shared" si="4"/>
        <v>3.1890330015954976E-3</v>
      </c>
    </row>
    <row r="16" spans="1:9" x14ac:dyDescent="0.25">
      <c r="B16" s="4">
        <f>SUM(B3:B15)</f>
        <v>52.566389999999998</v>
      </c>
      <c r="C16" s="17">
        <f t="shared" si="1"/>
        <v>7.6252740725052781E-2</v>
      </c>
      <c r="D16" s="4">
        <f>SUM(D3:D15)</f>
        <v>13.618984000000001</v>
      </c>
      <c r="E16" s="17">
        <f>D16/149.37832</f>
        <v>9.1171088281083904E-2</v>
      </c>
      <c r="F16" s="4">
        <f>SUM(F3:F15)</f>
        <v>8.188796</v>
      </c>
      <c r="G16" s="17">
        <f>F16/320.275122</f>
        <v>2.5568005247688267E-2</v>
      </c>
      <c r="H16" s="4">
        <f>SUM(H3:H15)</f>
        <v>30.758609999999997</v>
      </c>
      <c r="I16" s="17">
        <f>H16/219.717074</f>
        <v>0.13999189703391007</v>
      </c>
    </row>
    <row r="18" spans="1:2" x14ac:dyDescent="0.25">
      <c r="A18" s="1" t="s">
        <v>67</v>
      </c>
      <c r="B18" s="1" t="s">
        <v>65</v>
      </c>
    </row>
    <row r="19" spans="1:2" x14ac:dyDescent="0.25">
      <c r="A19" s="1" t="s">
        <v>61</v>
      </c>
      <c r="B19" s="4">
        <v>689.37049999999999</v>
      </c>
    </row>
    <row r="20" spans="1:2" x14ac:dyDescent="0.25">
      <c r="A20" s="1" t="s">
        <v>62</v>
      </c>
      <c r="B20" s="4">
        <v>149.37832</v>
      </c>
    </row>
    <row r="21" spans="1:2" x14ac:dyDescent="0.25">
      <c r="A21" s="1" t="s">
        <v>63</v>
      </c>
      <c r="B21" s="4">
        <v>320.27512200000001</v>
      </c>
    </row>
    <row r="22" spans="1:2" x14ac:dyDescent="0.25">
      <c r="A22" s="1" t="s">
        <v>64</v>
      </c>
      <c r="B22" s="4">
        <v>219.717074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30" sqref="E30"/>
    </sheetView>
  </sheetViews>
  <sheetFormatPr defaultRowHeight="15" x14ac:dyDescent="0.25"/>
  <cols>
    <col min="1" max="1" width="24.140625" bestFit="1" customWidth="1"/>
    <col min="2" max="2" width="12.85546875" bestFit="1" customWidth="1"/>
    <col min="3" max="3" width="13.85546875" bestFit="1" customWidth="1"/>
    <col min="4" max="4" width="6.5703125" bestFit="1" customWidth="1"/>
    <col min="5" max="5" width="13.85546875" bestFit="1" customWidth="1"/>
    <col min="6" max="6" width="6.28515625" bestFit="1" customWidth="1"/>
    <col min="7" max="7" width="13.85546875" bestFit="1" customWidth="1"/>
    <col min="8" max="8" width="6.5703125" bestFit="1" customWidth="1"/>
    <col min="9" max="9" width="13.85546875" bestFit="1" customWidth="1"/>
  </cols>
  <sheetData>
    <row r="1" spans="1:9" x14ac:dyDescent="0.25">
      <c r="B1" s="83" t="s">
        <v>31</v>
      </c>
      <c r="C1" s="83"/>
      <c r="D1" s="83" t="s">
        <v>32</v>
      </c>
      <c r="E1" s="83"/>
      <c r="F1" s="83" t="s">
        <v>33</v>
      </c>
      <c r="G1" s="83"/>
      <c r="H1" s="83" t="s">
        <v>34</v>
      </c>
      <c r="I1" s="83"/>
    </row>
    <row r="2" spans="1:9" x14ac:dyDescent="0.25">
      <c r="A2" s="1" t="s">
        <v>69</v>
      </c>
      <c r="B2" s="15" t="s">
        <v>29</v>
      </c>
      <c r="C2" s="15" t="s">
        <v>66</v>
      </c>
      <c r="D2" s="15" t="s">
        <v>29</v>
      </c>
      <c r="E2" s="15" t="s">
        <v>66</v>
      </c>
      <c r="F2" s="15" t="s">
        <v>29</v>
      </c>
      <c r="G2" s="15" t="s">
        <v>66</v>
      </c>
      <c r="H2" s="15" t="s">
        <v>29</v>
      </c>
      <c r="I2" s="15" t="s">
        <v>66</v>
      </c>
    </row>
    <row r="3" spans="1:9" x14ac:dyDescent="0.25">
      <c r="A3" s="1" t="s">
        <v>70</v>
      </c>
      <c r="B3" s="4">
        <f>D3+F3+H3</f>
        <v>0.29460200000000003</v>
      </c>
      <c r="C3" s="19">
        <f>B3/689.371</f>
        <v>4.2734898915097974E-4</v>
      </c>
      <c r="D3" s="4">
        <v>8.3630999999999997E-2</v>
      </c>
      <c r="E3" s="19">
        <f>D3/149.378</f>
        <v>5.5986155926575538E-4</v>
      </c>
      <c r="F3" s="4">
        <v>3.5423000000000003E-2</v>
      </c>
      <c r="G3" s="19">
        <f>F3/320.275</f>
        <v>1.1060182655530405E-4</v>
      </c>
      <c r="H3" s="4">
        <v>0.17554800000000001</v>
      </c>
      <c r="I3" s="19">
        <f>H3/219.717</f>
        <v>7.9897322464807003E-4</v>
      </c>
    </row>
    <row r="4" spans="1:9" x14ac:dyDescent="0.25">
      <c r="A4" s="1" t="s">
        <v>71</v>
      </c>
      <c r="B4" s="4">
        <f t="shared" ref="B4:B8" si="0">D4+F4+H4</f>
        <v>19.796295999999998</v>
      </c>
      <c r="C4" s="19">
        <f t="shared" ref="C4:C9" si="1">B4/689.371</f>
        <v>2.8716461818092141E-2</v>
      </c>
      <c r="D4" s="4">
        <v>3.8720889999999999</v>
      </c>
      <c r="E4" s="19">
        <f t="shared" ref="E4:E8" si="2">D4/149.378</f>
        <v>2.5921414130594869E-2</v>
      </c>
      <c r="F4" s="4">
        <v>2.9806180000000002</v>
      </c>
      <c r="G4" s="19">
        <f t="shared" ref="G4:G8" si="3">F4/320.275</f>
        <v>9.3064335336819938E-3</v>
      </c>
      <c r="H4" s="4">
        <v>12.943588999999999</v>
      </c>
      <c r="I4" s="19">
        <f t="shared" ref="I4:I8" si="4">H4/219.717</f>
        <v>5.8910275490744908E-2</v>
      </c>
    </row>
    <row r="5" spans="1:9" x14ac:dyDescent="0.25">
      <c r="A5" s="1" t="s">
        <v>72</v>
      </c>
      <c r="B5" s="4">
        <f t="shared" si="0"/>
        <v>15.036426000000001</v>
      </c>
      <c r="C5" s="19">
        <f t="shared" si="1"/>
        <v>2.1811805254355058E-2</v>
      </c>
      <c r="D5" s="4">
        <v>5.3244870000000004</v>
      </c>
      <c r="E5" s="19">
        <f t="shared" si="2"/>
        <v>3.564438538472868E-2</v>
      </c>
      <c r="F5" s="4">
        <v>3.2371460000000001</v>
      </c>
      <c r="G5" s="19">
        <f t="shared" si="3"/>
        <v>1.0107395207243776E-2</v>
      </c>
      <c r="H5" s="4">
        <v>6.474793</v>
      </c>
      <c r="I5" s="19">
        <f t="shared" si="4"/>
        <v>2.9468784845960938E-2</v>
      </c>
    </row>
    <row r="6" spans="1:9" x14ac:dyDescent="0.25">
      <c r="A6" s="1" t="s">
        <v>73</v>
      </c>
      <c r="B6" s="4">
        <f t="shared" si="0"/>
        <v>11.564751000000001</v>
      </c>
      <c r="C6" s="19">
        <f t="shared" si="1"/>
        <v>1.6775801418974692E-2</v>
      </c>
      <c r="D6" s="4">
        <v>1.2096640000000001</v>
      </c>
      <c r="E6" s="19">
        <f t="shared" si="2"/>
        <v>8.0980063998714689E-3</v>
      </c>
      <c r="F6" s="4">
        <v>0.61501099999999997</v>
      </c>
      <c r="G6" s="19">
        <f t="shared" si="3"/>
        <v>1.920259152291E-3</v>
      </c>
      <c r="H6" s="4">
        <v>9.7400760000000002</v>
      </c>
      <c r="I6" s="19">
        <f t="shared" si="4"/>
        <v>4.4330097352503449E-2</v>
      </c>
    </row>
    <row r="7" spans="1:9" x14ac:dyDescent="0.25">
      <c r="A7" s="1" t="s">
        <v>74</v>
      </c>
      <c r="B7" s="4">
        <f t="shared" si="0"/>
        <v>3.7568700000000002</v>
      </c>
      <c r="C7" s="19">
        <f t="shared" si="1"/>
        <v>5.4497070517906905E-3</v>
      </c>
      <c r="D7" s="4">
        <v>1.199997</v>
      </c>
      <c r="E7" s="19">
        <f t="shared" si="2"/>
        <v>8.0332913815956836E-3</v>
      </c>
      <c r="F7" s="4">
        <v>0.94233800000000001</v>
      </c>
      <c r="G7" s="19">
        <f t="shared" si="3"/>
        <v>2.9422777300757165E-3</v>
      </c>
      <c r="H7" s="4">
        <v>1.6145350000000001</v>
      </c>
      <c r="I7" s="19">
        <f t="shared" si="4"/>
        <v>7.3482479735295855E-3</v>
      </c>
    </row>
    <row r="8" spans="1:9" x14ac:dyDescent="0.25">
      <c r="A8" s="1" t="s">
        <v>75</v>
      </c>
      <c r="B8" s="4">
        <f t="shared" si="0"/>
        <v>3.4245970000000003</v>
      </c>
      <c r="C8" s="19">
        <f t="shared" si="1"/>
        <v>4.967712595975172E-3</v>
      </c>
      <c r="D8" s="4">
        <v>2.8256410000000001</v>
      </c>
      <c r="E8" s="19">
        <f t="shared" si="2"/>
        <v>1.8916045200765844E-2</v>
      </c>
      <c r="F8" s="4">
        <v>0.47257900000000003</v>
      </c>
      <c r="G8" s="19">
        <f t="shared" si="3"/>
        <v>1.4755413316680979E-3</v>
      </c>
      <c r="H8" s="4">
        <v>0.12637699999999999</v>
      </c>
      <c r="I8" s="19">
        <f t="shared" si="4"/>
        <v>5.7518080075733772E-4</v>
      </c>
    </row>
    <row r="9" spans="1:9" x14ac:dyDescent="0.25">
      <c r="B9" s="4">
        <f>SUM(B3:B8)</f>
        <v>53.873542</v>
      </c>
      <c r="C9" s="20">
        <f t="shared" si="1"/>
        <v>7.8148837128338741E-2</v>
      </c>
      <c r="D9" s="4">
        <f>SUM(D3:D8)</f>
        <v>14.515509000000002</v>
      </c>
      <c r="E9" s="20">
        <f>D9/149.378</f>
        <v>9.7173004056822304E-2</v>
      </c>
      <c r="F9" s="4">
        <f>SUM(F3:F8)</f>
        <v>8.2831150000000004</v>
      </c>
      <c r="G9" s="20">
        <f>F9/320.275</f>
        <v>2.586250878151589E-2</v>
      </c>
      <c r="H9" s="4">
        <f>SUM(H3:H8)</f>
        <v>31.074918000000004</v>
      </c>
      <c r="I9" s="20">
        <f>H9/219.717</f>
        <v>0.1414315596881443</v>
      </c>
    </row>
    <row r="11" spans="1:9" x14ac:dyDescent="0.25">
      <c r="A11" s="1" t="s">
        <v>67</v>
      </c>
      <c r="B11" s="1" t="s">
        <v>65</v>
      </c>
    </row>
    <row r="12" spans="1:9" x14ac:dyDescent="0.25">
      <c r="A12" s="1" t="s">
        <v>61</v>
      </c>
      <c r="B12" s="4">
        <v>689.37049999999999</v>
      </c>
    </row>
    <row r="13" spans="1:9" x14ac:dyDescent="0.25">
      <c r="A13" s="1" t="s">
        <v>62</v>
      </c>
      <c r="B13" s="4">
        <v>149.37832</v>
      </c>
    </row>
    <row r="14" spans="1:9" x14ac:dyDescent="0.25">
      <c r="A14" s="1" t="s">
        <v>63</v>
      </c>
      <c r="B14" s="4">
        <v>320.27512200000001</v>
      </c>
    </row>
    <row r="15" spans="1:9" x14ac:dyDescent="0.25">
      <c r="A15" s="1" t="s">
        <v>64</v>
      </c>
      <c r="B15" s="4">
        <v>219.717074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25" sqref="I25"/>
    </sheetView>
  </sheetViews>
  <sheetFormatPr defaultRowHeight="15" x14ac:dyDescent="0.25"/>
  <cols>
    <col min="1" max="1" width="24.140625" bestFit="1" customWidth="1"/>
    <col min="2" max="2" width="12.85546875" bestFit="1" customWidth="1"/>
    <col min="3" max="3" width="13.85546875" bestFit="1" customWidth="1"/>
    <col min="4" max="4" width="7.5703125" bestFit="1" customWidth="1"/>
    <col min="5" max="5" width="13.85546875" bestFit="1" customWidth="1"/>
    <col min="6" max="6" width="7.5703125" bestFit="1" customWidth="1"/>
    <col min="7" max="7" width="13.85546875" bestFit="1" customWidth="1"/>
    <col min="8" max="8" width="7.5703125" bestFit="1" customWidth="1"/>
    <col min="9" max="9" width="13.85546875" bestFit="1" customWidth="1"/>
  </cols>
  <sheetData>
    <row r="1" spans="1:9" x14ac:dyDescent="0.25">
      <c r="B1" s="83" t="s">
        <v>31</v>
      </c>
      <c r="C1" s="83"/>
      <c r="D1" s="83" t="s">
        <v>32</v>
      </c>
      <c r="E1" s="83"/>
      <c r="F1" s="83" t="s">
        <v>33</v>
      </c>
      <c r="G1" s="83"/>
      <c r="H1" s="83" t="s">
        <v>34</v>
      </c>
      <c r="I1" s="83"/>
    </row>
    <row r="2" spans="1:9" x14ac:dyDescent="0.25">
      <c r="A2" s="1" t="s">
        <v>80</v>
      </c>
      <c r="B2" s="18" t="s">
        <v>29</v>
      </c>
      <c r="C2" s="18" t="s">
        <v>66</v>
      </c>
      <c r="D2" s="18" t="s">
        <v>29</v>
      </c>
      <c r="E2" s="18" t="s">
        <v>66</v>
      </c>
      <c r="F2" s="18" t="s">
        <v>29</v>
      </c>
      <c r="G2" s="18" t="s">
        <v>66</v>
      </c>
      <c r="H2" s="18" t="s">
        <v>29</v>
      </c>
      <c r="I2" s="18" t="s">
        <v>66</v>
      </c>
    </row>
    <row r="3" spans="1:9" x14ac:dyDescent="0.25">
      <c r="A3" s="1" t="s">
        <v>76</v>
      </c>
      <c r="B3" s="4">
        <f>D3+F3+H3</f>
        <v>236.27232099999998</v>
      </c>
      <c r="C3" s="19">
        <f>B3/689.371</f>
        <v>0.34273608985582504</v>
      </c>
      <c r="D3" s="4">
        <v>24.944980000000001</v>
      </c>
      <c r="E3" s="19">
        <f>D3/149.378</f>
        <v>0.16699232818755108</v>
      </c>
      <c r="F3" s="4">
        <v>171.46654799999999</v>
      </c>
      <c r="G3" s="19">
        <f>F3/320.275</f>
        <v>0.5353728764343143</v>
      </c>
      <c r="H3" s="4">
        <v>39.860793000000001</v>
      </c>
      <c r="I3" s="19">
        <f>H3/219.717</f>
        <v>0.18141879326588292</v>
      </c>
    </row>
    <row r="4" spans="1:9" x14ac:dyDescent="0.25">
      <c r="A4" s="1" t="s">
        <v>77</v>
      </c>
      <c r="B4" s="4">
        <f t="shared" ref="B4:B6" si="0">D4+F4+H4</f>
        <v>79.394655</v>
      </c>
      <c r="C4" s="19">
        <f t="shared" ref="C4:C7" si="1">B4/689.371</f>
        <v>0.11516970542712125</v>
      </c>
      <c r="D4" s="4">
        <v>9.3478539999999999</v>
      </c>
      <c r="E4" s="19">
        <f t="shared" ref="E4:E7" si="2">D4/149.378</f>
        <v>6.2578518925142934E-2</v>
      </c>
      <c r="F4" s="4">
        <v>58.184142999999999</v>
      </c>
      <c r="G4" s="19">
        <f t="shared" ref="G4:G7" si="3">F4/320.275</f>
        <v>0.18166932479900086</v>
      </c>
      <c r="H4" s="4">
        <v>11.862658</v>
      </c>
      <c r="I4" s="19">
        <f t="shared" ref="I4:I7" si="4">H4/219.717</f>
        <v>5.3990624303080777E-2</v>
      </c>
    </row>
    <row r="5" spans="1:9" x14ac:dyDescent="0.25">
      <c r="A5" s="1" t="s">
        <v>78</v>
      </c>
      <c r="B5" s="4">
        <f t="shared" si="0"/>
        <v>149.642549</v>
      </c>
      <c r="C5" s="19">
        <f t="shared" si="1"/>
        <v>0.21707114021332491</v>
      </c>
      <c r="D5" s="4">
        <v>77.857955000000004</v>
      </c>
      <c r="E5" s="19">
        <f t="shared" si="2"/>
        <v>0.52121433544430917</v>
      </c>
      <c r="F5" s="4">
        <v>52.985824999999998</v>
      </c>
      <c r="G5" s="19">
        <f t="shared" si="3"/>
        <v>0.16543852938880649</v>
      </c>
      <c r="H5" s="4">
        <v>18.798769</v>
      </c>
      <c r="I5" s="19">
        <f t="shared" si="4"/>
        <v>8.5559009999226276E-2</v>
      </c>
    </row>
    <row r="6" spans="1:9" x14ac:dyDescent="0.25">
      <c r="A6" s="1" t="s">
        <v>79</v>
      </c>
      <c r="B6" s="4">
        <f t="shared" si="0"/>
        <v>221.56903199999999</v>
      </c>
      <c r="C6" s="19">
        <f t="shared" si="1"/>
        <v>0.32140753237371461</v>
      </c>
      <c r="D6" s="4">
        <v>35.935769999999998</v>
      </c>
      <c r="E6" s="19">
        <f t="shared" si="2"/>
        <v>0.24056936095007297</v>
      </c>
      <c r="F6" s="4">
        <v>36.656697999999999</v>
      </c>
      <c r="G6" s="19">
        <f t="shared" si="3"/>
        <v>0.11445382249629225</v>
      </c>
      <c r="H6" s="4">
        <v>148.976564</v>
      </c>
      <c r="I6" s="19">
        <f t="shared" si="4"/>
        <v>0.6780384039468953</v>
      </c>
    </row>
    <row r="7" spans="1:9" x14ac:dyDescent="0.25">
      <c r="B7" s="4">
        <f>SUM(B3:B6)</f>
        <v>686.878557</v>
      </c>
      <c r="C7" s="20">
        <f t="shared" si="1"/>
        <v>0.9963844678699858</v>
      </c>
      <c r="D7" s="4">
        <f>SUM(D3:D6)</f>
        <v>148.08655899999999</v>
      </c>
      <c r="E7" s="19">
        <f t="shared" si="2"/>
        <v>0.99135454350707608</v>
      </c>
      <c r="F7" s="4">
        <f>SUM(F3:F6)</f>
        <v>319.29321399999998</v>
      </c>
      <c r="G7" s="19">
        <f t="shared" si="3"/>
        <v>0.99693455311841384</v>
      </c>
      <c r="H7" s="4">
        <f>SUM(H3:H6)</f>
        <v>219.498784</v>
      </c>
      <c r="I7" s="19">
        <f t="shared" si="4"/>
        <v>0.99900683151508529</v>
      </c>
    </row>
    <row r="9" spans="1:9" x14ac:dyDescent="0.25">
      <c r="A9" s="1" t="s">
        <v>67</v>
      </c>
      <c r="B9" s="1" t="s">
        <v>65</v>
      </c>
    </row>
    <row r="10" spans="1:9" x14ac:dyDescent="0.25">
      <c r="A10" s="1" t="s">
        <v>61</v>
      </c>
      <c r="B10" s="4">
        <v>689.37049999999999</v>
      </c>
    </row>
    <row r="11" spans="1:9" x14ac:dyDescent="0.25">
      <c r="A11" s="1" t="s">
        <v>62</v>
      </c>
      <c r="B11" s="4">
        <v>149.37832</v>
      </c>
    </row>
    <row r="12" spans="1:9" x14ac:dyDescent="0.25">
      <c r="A12" s="1" t="s">
        <v>63</v>
      </c>
      <c r="B12" s="4">
        <v>320.27512200000001</v>
      </c>
    </row>
    <row r="13" spans="1:9" x14ac:dyDescent="0.25">
      <c r="A13" s="1" t="s">
        <v>64</v>
      </c>
      <c r="B13" s="4">
        <v>219.717074</v>
      </c>
    </row>
    <row r="17" spans="1:1" x14ac:dyDescent="0.25">
      <c r="A17" t="s">
        <v>81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E36" sqref="E36"/>
    </sheetView>
  </sheetViews>
  <sheetFormatPr defaultRowHeight="15" x14ac:dyDescent="0.25"/>
  <cols>
    <col min="1" max="1" width="24.7109375" customWidth="1"/>
    <col min="2" max="2" width="12.85546875" bestFit="1" customWidth="1"/>
    <col min="3" max="3" width="13.85546875" bestFit="1" customWidth="1"/>
    <col min="5" max="5" width="13.85546875" bestFit="1" customWidth="1"/>
    <col min="7" max="7" width="13.85546875" bestFit="1" customWidth="1"/>
    <col min="9" max="9" width="13.85546875" bestFit="1" customWidth="1"/>
  </cols>
  <sheetData>
    <row r="1" spans="1:9" x14ac:dyDescent="0.25">
      <c r="B1" s="83" t="s">
        <v>31</v>
      </c>
      <c r="C1" s="83"/>
      <c r="D1" s="83" t="s">
        <v>32</v>
      </c>
      <c r="E1" s="83"/>
      <c r="F1" s="83" t="s">
        <v>33</v>
      </c>
      <c r="G1" s="83"/>
      <c r="H1" s="83" t="s">
        <v>34</v>
      </c>
      <c r="I1" s="83"/>
    </row>
    <row r="2" spans="1:9" x14ac:dyDescent="0.25">
      <c r="A2" s="1" t="s">
        <v>82</v>
      </c>
      <c r="B2" s="21" t="s">
        <v>29</v>
      </c>
      <c r="C2" s="21" t="s">
        <v>66</v>
      </c>
      <c r="D2" s="21" t="s">
        <v>29</v>
      </c>
      <c r="E2" s="21" t="s">
        <v>66</v>
      </c>
      <c r="F2" s="21" t="s">
        <v>29</v>
      </c>
      <c r="G2" s="21" t="s">
        <v>66</v>
      </c>
      <c r="H2" s="21" t="s">
        <v>29</v>
      </c>
      <c r="I2" s="21" t="s">
        <v>66</v>
      </c>
    </row>
    <row r="3" spans="1:9" x14ac:dyDescent="0.25">
      <c r="A3" s="1" t="s">
        <v>83</v>
      </c>
      <c r="B3" s="4">
        <f>D3+F3+H3</f>
        <v>3.3080579999999999</v>
      </c>
      <c r="C3" s="19">
        <f>B3/689.371</f>
        <v>4.7986613884251003E-3</v>
      </c>
      <c r="D3" s="4">
        <v>0</v>
      </c>
      <c r="E3" s="19">
        <f>D3/149.378</f>
        <v>0</v>
      </c>
      <c r="F3" s="4">
        <v>3.3080579999999999</v>
      </c>
      <c r="G3" s="19">
        <f>F3/320.275</f>
        <v>1.032880493326048E-2</v>
      </c>
      <c r="H3" s="4">
        <v>0</v>
      </c>
      <c r="I3" s="19">
        <f>H3/219.717</f>
        <v>0</v>
      </c>
    </row>
    <row r="4" spans="1:9" x14ac:dyDescent="0.25">
      <c r="A4" s="1" t="s">
        <v>84</v>
      </c>
      <c r="B4" s="4">
        <f t="shared" ref="B4:B18" si="0">D4+F4+H4</f>
        <v>0.120989</v>
      </c>
      <c r="C4" s="19">
        <f t="shared" ref="C4:C19" si="1">B4/689.371</f>
        <v>1.7550636739868664E-4</v>
      </c>
      <c r="D4" s="4">
        <v>0</v>
      </c>
      <c r="E4" s="19">
        <f t="shared" ref="E4:E18" si="2">D4/149.378</f>
        <v>0</v>
      </c>
      <c r="F4" s="4">
        <v>4.6299999999999998E-4</v>
      </c>
      <c r="G4" s="19">
        <f t="shared" ref="G4:G18" si="3">F4/320.275</f>
        <v>1.4456326594332995E-6</v>
      </c>
      <c r="H4" s="4">
        <v>0.12052599999999999</v>
      </c>
      <c r="I4" s="19">
        <f t="shared" ref="I4:I18" si="4">H4/219.717</f>
        <v>5.4855109072124593E-4</v>
      </c>
    </row>
    <row r="5" spans="1:9" x14ac:dyDescent="0.25">
      <c r="A5" s="1" t="s">
        <v>85</v>
      </c>
      <c r="B5" s="4">
        <f t="shared" si="0"/>
        <v>7.9489999999999995E-3</v>
      </c>
      <c r="C5" s="19">
        <f t="shared" si="1"/>
        <v>1.1530801266661927E-5</v>
      </c>
      <c r="D5" s="4">
        <v>2.0270000000000002E-3</v>
      </c>
      <c r="E5" s="19">
        <f t="shared" si="2"/>
        <v>1.3569601949416917E-5</v>
      </c>
      <c r="F5" s="4">
        <v>5.9189999999999998E-3</v>
      </c>
      <c r="G5" s="19">
        <f t="shared" si="3"/>
        <v>1.8480992896729373E-5</v>
      </c>
      <c r="H5" s="4">
        <v>3.0000000000000001E-6</v>
      </c>
      <c r="I5" s="19">
        <f t="shared" si="4"/>
        <v>1.3653927552260407E-8</v>
      </c>
    </row>
    <row r="6" spans="1:9" x14ac:dyDescent="0.25">
      <c r="A6" s="1" t="s">
        <v>86</v>
      </c>
      <c r="B6" s="4">
        <f t="shared" si="0"/>
        <v>0.71603799999999995</v>
      </c>
      <c r="C6" s="19">
        <f t="shared" si="1"/>
        <v>1.0386830893669736E-3</v>
      </c>
      <c r="D6" s="4">
        <v>1.5578E-2</v>
      </c>
      <c r="E6" s="19">
        <f t="shared" si="2"/>
        <v>1.0428577166651047E-4</v>
      </c>
      <c r="F6" s="4">
        <v>0.298236</v>
      </c>
      <c r="G6" s="19">
        <f t="shared" si="3"/>
        <v>9.311872609476232E-4</v>
      </c>
      <c r="H6" s="4">
        <v>0.40222400000000003</v>
      </c>
      <c r="I6" s="19">
        <f t="shared" si="4"/>
        <v>1.83064578526013E-3</v>
      </c>
    </row>
    <row r="7" spans="1:9" x14ac:dyDescent="0.25">
      <c r="A7" s="23" t="s">
        <v>87</v>
      </c>
      <c r="B7" s="4">
        <f t="shared" si="0"/>
        <v>2.1667510000000001</v>
      </c>
      <c r="C7" s="19">
        <f t="shared" si="1"/>
        <v>3.1430840577860108E-3</v>
      </c>
      <c r="D7" s="4">
        <v>8.5422999999999999E-2</v>
      </c>
      <c r="E7" s="19">
        <f t="shared" si="2"/>
        <v>5.7185797105330108E-4</v>
      </c>
      <c r="F7" s="4">
        <v>1.8159099999999999</v>
      </c>
      <c r="G7" s="19">
        <f t="shared" si="3"/>
        <v>5.6698462258996177E-3</v>
      </c>
      <c r="H7" s="4">
        <v>0.26541799999999999</v>
      </c>
      <c r="I7" s="19">
        <f t="shared" si="4"/>
        <v>1.2079993810219509E-3</v>
      </c>
    </row>
    <row r="8" spans="1:9" x14ac:dyDescent="0.25">
      <c r="A8" s="23" t="s">
        <v>88</v>
      </c>
      <c r="B8" s="4">
        <f t="shared" si="0"/>
        <v>6.3131999999999994E-2</v>
      </c>
      <c r="C8" s="19">
        <f t="shared" si="1"/>
        <v>9.1579135182652004E-5</v>
      </c>
      <c r="D8" s="4">
        <v>0</v>
      </c>
      <c r="E8" s="19">
        <f t="shared" si="2"/>
        <v>0</v>
      </c>
      <c r="F8" s="4">
        <v>6.3131999999999994E-2</v>
      </c>
      <c r="G8" s="19">
        <f t="shared" si="3"/>
        <v>1.9711810163141051E-4</v>
      </c>
      <c r="H8" s="4">
        <v>0</v>
      </c>
      <c r="I8" s="19">
        <f t="shared" si="4"/>
        <v>0</v>
      </c>
    </row>
    <row r="9" spans="1:9" x14ac:dyDescent="0.25">
      <c r="A9" s="23" t="s">
        <v>89</v>
      </c>
      <c r="B9" s="4">
        <f t="shared" si="0"/>
        <v>7.5009999999999999E-3</v>
      </c>
      <c r="C9" s="19">
        <f t="shared" si="1"/>
        <v>1.0880933488643996E-5</v>
      </c>
      <c r="D9" s="4">
        <v>0</v>
      </c>
      <c r="E9" s="19">
        <f t="shared" si="2"/>
        <v>0</v>
      </c>
      <c r="F9" s="4">
        <v>7.7000000000000001E-5</v>
      </c>
      <c r="G9" s="19">
        <f t="shared" si="3"/>
        <v>2.4041839044571076E-7</v>
      </c>
      <c r="H9" s="4">
        <v>7.424E-3</v>
      </c>
      <c r="I9" s="19">
        <f t="shared" si="4"/>
        <v>3.3788919382660418E-5</v>
      </c>
    </row>
    <row r="10" spans="1:9" x14ac:dyDescent="0.25">
      <c r="A10" s="23" t="s">
        <v>90</v>
      </c>
      <c r="B10" s="4">
        <f t="shared" si="0"/>
        <v>102.703698</v>
      </c>
      <c r="C10" s="19">
        <f t="shared" si="1"/>
        <v>0.14898175003009992</v>
      </c>
      <c r="D10" s="4">
        <v>13.077059999999999</v>
      </c>
      <c r="E10" s="19">
        <f t="shared" si="2"/>
        <v>8.7543413354041436E-2</v>
      </c>
      <c r="F10" s="4">
        <v>79.604258999999999</v>
      </c>
      <c r="G10" s="19">
        <f t="shared" si="3"/>
        <v>0.24854971196627898</v>
      </c>
      <c r="H10" s="4">
        <v>10.022379000000001</v>
      </c>
      <c r="I10" s="19">
        <f t="shared" si="4"/>
        <v>4.5614945589098704E-2</v>
      </c>
    </row>
    <row r="11" spans="1:9" x14ac:dyDescent="0.25">
      <c r="A11" s="23" t="s">
        <v>91</v>
      </c>
      <c r="B11" s="4">
        <f t="shared" si="0"/>
        <v>0.379222</v>
      </c>
      <c r="C11" s="19">
        <f t="shared" si="1"/>
        <v>5.5009856811499185E-4</v>
      </c>
      <c r="D11" s="4">
        <v>0</v>
      </c>
      <c r="E11" s="19">
        <f t="shared" si="2"/>
        <v>0</v>
      </c>
      <c r="F11" s="4">
        <v>0.34385199999999999</v>
      </c>
      <c r="G11" s="19">
        <f t="shared" si="3"/>
        <v>1.073614862227773E-3</v>
      </c>
      <c r="H11" s="4">
        <v>3.5369999999999999E-2</v>
      </c>
      <c r="I11" s="19">
        <f t="shared" si="4"/>
        <v>1.6097980584115019E-4</v>
      </c>
    </row>
    <row r="12" spans="1:9" x14ac:dyDescent="0.25">
      <c r="A12" s="23" t="s">
        <v>92</v>
      </c>
      <c r="B12" s="4">
        <f t="shared" si="0"/>
        <v>154.95246999999998</v>
      </c>
      <c r="C12" s="19">
        <f t="shared" si="1"/>
        <v>0.22477369950288015</v>
      </c>
      <c r="D12" s="4">
        <v>77.312039999999996</v>
      </c>
      <c r="E12" s="19">
        <f t="shared" si="2"/>
        <v>0.51755974775402003</v>
      </c>
      <c r="F12" s="4">
        <v>57.808011999999998</v>
      </c>
      <c r="G12" s="19">
        <f t="shared" si="3"/>
        <v>0.18049492467410819</v>
      </c>
      <c r="H12" s="4">
        <v>19.832418000000001</v>
      </c>
      <c r="I12" s="19">
        <f t="shared" si="4"/>
        <v>9.0263466186048413E-2</v>
      </c>
    </row>
    <row r="13" spans="1:9" x14ac:dyDescent="0.25">
      <c r="A13" s="23" t="s">
        <v>93</v>
      </c>
      <c r="B13" s="4">
        <f t="shared" si="0"/>
        <v>1.2042930000000001</v>
      </c>
      <c r="C13" s="19">
        <f t="shared" si="1"/>
        <v>1.7469446785547986E-3</v>
      </c>
      <c r="D13" s="4">
        <v>0.38727200000000001</v>
      </c>
      <c r="E13" s="19">
        <f t="shared" si="2"/>
        <v>2.5925638313540151E-3</v>
      </c>
      <c r="F13" s="4">
        <v>0.37478499999999998</v>
      </c>
      <c r="G13" s="19">
        <f t="shared" si="3"/>
        <v>1.1701974865350091E-3</v>
      </c>
      <c r="H13" s="4">
        <v>0.44223600000000002</v>
      </c>
      <c r="I13" s="19">
        <f t="shared" si="4"/>
        <v>2.0127527683338111E-3</v>
      </c>
    </row>
    <row r="14" spans="1:9" x14ac:dyDescent="0.25">
      <c r="A14" s="23" t="s">
        <v>94</v>
      </c>
      <c r="B14" s="4">
        <f t="shared" si="0"/>
        <v>117.22541699999999</v>
      </c>
      <c r="C14" s="19">
        <f t="shared" si="1"/>
        <v>0.1700469224844097</v>
      </c>
      <c r="D14" s="4">
        <v>21.121922000000001</v>
      </c>
      <c r="E14" s="19">
        <f t="shared" si="2"/>
        <v>0.14139914846898474</v>
      </c>
      <c r="F14" s="4">
        <v>72.391052999999999</v>
      </c>
      <c r="G14" s="19">
        <f t="shared" si="3"/>
        <v>0.2260277979861057</v>
      </c>
      <c r="H14" s="4">
        <v>23.712441999999999</v>
      </c>
      <c r="I14" s="19">
        <f t="shared" si="4"/>
        <v>0.10792265505172562</v>
      </c>
    </row>
    <row r="15" spans="1:9" x14ac:dyDescent="0.25">
      <c r="A15" s="23" t="s">
        <v>95</v>
      </c>
      <c r="B15" s="4">
        <f t="shared" si="0"/>
        <v>4.7197999999999997E-2</v>
      </c>
      <c r="C15" s="19">
        <f t="shared" si="1"/>
        <v>6.8465311131451714E-5</v>
      </c>
      <c r="D15" s="4">
        <v>0</v>
      </c>
      <c r="E15" s="19">
        <f t="shared" si="2"/>
        <v>0</v>
      </c>
      <c r="F15" s="4">
        <v>4.7197999999999997E-2</v>
      </c>
      <c r="G15" s="19">
        <f t="shared" si="3"/>
        <v>1.4736710639294355E-4</v>
      </c>
      <c r="H15" s="4">
        <v>0</v>
      </c>
      <c r="I15" s="19">
        <f t="shared" si="4"/>
        <v>0</v>
      </c>
    </row>
    <row r="16" spans="1:9" x14ac:dyDescent="0.25">
      <c r="A16" s="23" t="s">
        <v>96</v>
      </c>
      <c r="B16" s="4">
        <f t="shared" si="0"/>
        <v>303.65061800000001</v>
      </c>
      <c r="C16" s="19">
        <f t="shared" si="1"/>
        <v>0.44047489377998206</v>
      </c>
      <c r="D16" s="4">
        <v>36.084738000000002</v>
      </c>
      <c r="E16" s="19">
        <f t="shared" si="2"/>
        <v>0.2415666162353225</v>
      </c>
      <c r="F16" s="4">
        <v>103.024073</v>
      </c>
      <c r="G16" s="19">
        <f t="shared" si="3"/>
        <v>0.32167378971196631</v>
      </c>
      <c r="H16" s="4">
        <v>164.54180700000001</v>
      </c>
      <c r="I16" s="19">
        <f t="shared" si="4"/>
        <v>0.74888063736533816</v>
      </c>
    </row>
    <row r="17" spans="1:9" x14ac:dyDescent="0.25">
      <c r="A17" s="23" t="s">
        <v>97</v>
      </c>
      <c r="B17" s="4">
        <f t="shared" si="0"/>
        <v>9.1782000000000002E-2</v>
      </c>
      <c r="C17" s="19">
        <f t="shared" si="1"/>
        <v>1.3313875982598629E-4</v>
      </c>
      <c r="D17" s="4">
        <v>0</v>
      </c>
      <c r="E17" s="19">
        <f t="shared" si="2"/>
        <v>0</v>
      </c>
      <c r="F17" s="4">
        <v>6.9052000000000002E-2</v>
      </c>
      <c r="G17" s="19">
        <f t="shared" si="3"/>
        <v>2.1560221684489893E-4</v>
      </c>
      <c r="H17" s="4">
        <v>2.273E-2</v>
      </c>
      <c r="I17" s="19">
        <f t="shared" si="4"/>
        <v>1.0345125775429302E-4</v>
      </c>
    </row>
    <row r="18" spans="1:9" x14ac:dyDescent="0.25">
      <c r="A18" s="23" t="s">
        <v>98</v>
      </c>
      <c r="B18" s="4">
        <f t="shared" si="0"/>
        <v>0.14592700000000003</v>
      </c>
      <c r="C18" s="19">
        <f t="shared" si="1"/>
        <v>2.1168137330987238E-4</v>
      </c>
      <c r="D18" s="4">
        <v>1.0000000000000001E-5</v>
      </c>
      <c r="E18" s="19">
        <f t="shared" si="2"/>
        <v>6.6944262207286225E-8</v>
      </c>
      <c r="F18" s="4">
        <v>0.13911000000000001</v>
      </c>
      <c r="G18" s="19">
        <f t="shared" si="3"/>
        <v>4.343454843493873E-4</v>
      </c>
      <c r="H18" s="4">
        <v>6.8069999999999997E-3</v>
      </c>
      <c r="I18" s="19">
        <f t="shared" si="4"/>
        <v>3.0980761616078863E-5</v>
      </c>
    </row>
    <row r="19" spans="1:9" x14ac:dyDescent="0.25">
      <c r="B19" s="4">
        <f>SUM(B3:B18)</f>
        <v>686.79104299999995</v>
      </c>
      <c r="C19" s="20">
        <f t="shared" si="1"/>
        <v>0.99625752026122361</v>
      </c>
      <c r="D19" s="4">
        <f>SUM(D3:D18)</f>
        <v>148.08606999999998</v>
      </c>
      <c r="E19" s="20">
        <f>D19/149.378</f>
        <v>0.99135126993265399</v>
      </c>
      <c r="F19" s="4">
        <f>SUM(F3:F18)</f>
        <v>319.29318900000004</v>
      </c>
      <c r="G19" s="20">
        <f>F19/320.275</f>
        <v>0.99693447506049504</v>
      </c>
      <c r="H19" s="4">
        <f>SUM(H3:H18)</f>
        <v>219.41178400000001</v>
      </c>
      <c r="I19" s="20">
        <f>H19/219.717</f>
        <v>0.99861086761606976</v>
      </c>
    </row>
    <row r="21" spans="1:9" x14ac:dyDescent="0.25">
      <c r="A21" s="1" t="s">
        <v>67</v>
      </c>
      <c r="B21" s="1" t="s">
        <v>65</v>
      </c>
    </row>
    <row r="22" spans="1:9" x14ac:dyDescent="0.25">
      <c r="A22" s="1" t="s">
        <v>61</v>
      </c>
      <c r="B22" s="4">
        <v>689.37049999999999</v>
      </c>
    </row>
    <row r="23" spans="1:9" x14ac:dyDescent="0.25">
      <c r="A23" s="1" t="s">
        <v>62</v>
      </c>
      <c r="B23" s="4">
        <v>149.37832</v>
      </c>
    </row>
    <row r="24" spans="1:9" x14ac:dyDescent="0.25">
      <c r="A24" s="1" t="s">
        <v>63</v>
      </c>
      <c r="B24" s="4">
        <v>320.27512200000001</v>
      </c>
    </row>
    <row r="25" spans="1:9" x14ac:dyDescent="0.25">
      <c r="A25" s="1" t="s">
        <v>64</v>
      </c>
      <c r="B25" s="4">
        <v>219.717074</v>
      </c>
    </row>
    <row r="29" spans="1:9" x14ac:dyDescent="0.25">
      <c r="A29" t="s">
        <v>81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I14"/>
    </sheetView>
  </sheetViews>
  <sheetFormatPr defaultRowHeight="15" x14ac:dyDescent="0.25"/>
  <cols>
    <col min="1" max="1" width="24.140625" bestFit="1" customWidth="1"/>
    <col min="2" max="2" width="12.85546875" bestFit="1" customWidth="1"/>
    <col min="3" max="3" width="13.85546875" bestFit="1" customWidth="1"/>
    <col min="5" max="5" width="13.85546875" bestFit="1" customWidth="1"/>
    <col min="7" max="7" width="13.85546875" bestFit="1" customWidth="1"/>
    <col min="9" max="9" width="13.85546875" bestFit="1" customWidth="1"/>
  </cols>
  <sheetData>
    <row r="1" spans="1:9" x14ac:dyDescent="0.25">
      <c r="B1" s="83" t="s">
        <v>31</v>
      </c>
      <c r="C1" s="83"/>
      <c r="D1" s="83" t="s">
        <v>32</v>
      </c>
      <c r="E1" s="83"/>
      <c r="F1" s="83" t="s">
        <v>33</v>
      </c>
      <c r="G1" s="83"/>
      <c r="H1" s="83" t="s">
        <v>34</v>
      </c>
      <c r="I1" s="83"/>
    </row>
    <row r="2" spans="1:9" x14ac:dyDescent="0.25">
      <c r="A2" s="1" t="s">
        <v>99</v>
      </c>
      <c r="B2" s="21" t="s">
        <v>29</v>
      </c>
      <c r="C2" s="21" t="s">
        <v>66</v>
      </c>
      <c r="D2" s="21" t="s">
        <v>29</v>
      </c>
      <c r="E2" s="21" t="s">
        <v>66</v>
      </c>
      <c r="F2" s="21" t="s">
        <v>29</v>
      </c>
      <c r="G2" s="21" t="s">
        <v>66</v>
      </c>
      <c r="H2" s="21" t="s">
        <v>29</v>
      </c>
      <c r="I2" s="21" t="s">
        <v>66</v>
      </c>
    </row>
    <row r="3" spans="1:9" x14ac:dyDescent="0.25">
      <c r="A3" s="1" t="s">
        <v>100</v>
      </c>
      <c r="B3" s="4">
        <f>D3+F3+H3</f>
        <v>7.0861000000000001</v>
      </c>
      <c r="C3" s="19">
        <f>B3/689.371</f>
        <v>1.0279080495118014E-2</v>
      </c>
      <c r="D3" s="4">
        <v>1.5272349999999999</v>
      </c>
      <c r="E3" s="19">
        <f>D3/149.378</f>
        <v>1.0223962029214476E-2</v>
      </c>
      <c r="F3" s="4">
        <v>4.1136970000000002</v>
      </c>
      <c r="G3" s="19">
        <f>F3/320.275</f>
        <v>1.2844265084692844E-2</v>
      </c>
      <c r="H3" s="4">
        <v>1.445168</v>
      </c>
      <c r="I3" s="19">
        <f>H3/219.717</f>
        <v>6.5774063909483562E-3</v>
      </c>
    </row>
    <row r="4" spans="1:9" x14ac:dyDescent="0.25">
      <c r="A4" s="1" t="s">
        <v>101</v>
      </c>
      <c r="B4" s="4">
        <f t="shared" ref="B4:B7" si="0">D4+F4+H4</f>
        <v>206.87786599999998</v>
      </c>
      <c r="C4" s="19">
        <f t="shared" ref="C4:C8" si="1">B4/689.371</f>
        <v>0.30009656048774896</v>
      </c>
      <c r="D4" s="4">
        <v>19.466616999999999</v>
      </c>
      <c r="E4" s="19">
        <f t="shared" ref="E4:E8" si="2">D4/149.378</f>
        <v>0.13031783127368154</v>
      </c>
      <c r="F4" s="4">
        <v>114.13377300000001</v>
      </c>
      <c r="G4" s="19">
        <f t="shared" ref="G4:G8" si="3">F4/320.275</f>
        <v>0.35636179220981973</v>
      </c>
      <c r="H4" s="4">
        <v>73.277475999999993</v>
      </c>
      <c r="I4" s="19">
        <f t="shared" ref="I4:I8" si="4">H4/219.717</f>
        <v>0.33350844950550018</v>
      </c>
    </row>
    <row r="5" spans="1:9" x14ac:dyDescent="0.25">
      <c r="A5" s="1" t="s">
        <v>102</v>
      </c>
      <c r="B5" s="4">
        <f t="shared" si="0"/>
        <v>308.03702900000002</v>
      </c>
      <c r="C5" s="19">
        <f t="shared" si="1"/>
        <v>0.44683781157025754</v>
      </c>
      <c r="D5" s="4">
        <v>71.220600000000005</v>
      </c>
      <c r="E5" s="19">
        <f t="shared" si="2"/>
        <v>0.47678105209602495</v>
      </c>
      <c r="F5" s="4">
        <v>160.252081</v>
      </c>
      <c r="G5" s="19">
        <f t="shared" si="3"/>
        <v>0.50035775817656702</v>
      </c>
      <c r="H5" s="4">
        <v>76.564347999999995</v>
      </c>
      <c r="I5" s="19">
        <f t="shared" si="4"/>
        <v>0.34846802022601797</v>
      </c>
    </row>
    <row r="6" spans="1:9" x14ac:dyDescent="0.25">
      <c r="A6" s="1" t="s">
        <v>103</v>
      </c>
      <c r="B6" s="4">
        <f t="shared" si="0"/>
        <v>167.36952099999999</v>
      </c>
      <c r="C6" s="19">
        <f t="shared" si="1"/>
        <v>0.24278584535757958</v>
      </c>
      <c r="D6" s="4">
        <v>57.163868000000001</v>
      </c>
      <c r="E6" s="19">
        <f t="shared" si="2"/>
        <v>0.38267929681746982</v>
      </c>
      <c r="F6" s="4">
        <v>41.775570999999999</v>
      </c>
      <c r="G6" s="19">
        <f t="shared" si="3"/>
        <v>0.13043656545156507</v>
      </c>
      <c r="H6" s="4">
        <v>68.430081999999999</v>
      </c>
      <c r="I6" s="19">
        <f t="shared" si="4"/>
        <v>0.31144646067441295</v>
      </c>
    </row>
    <row r="7" spans="1:9" x14ac:dyDescent="0.25">
      <c r="A7" s="23" t="s">
        <v>104</v>
      </c>
      <c r="B7" s="4">
        <f t="shared" si="0"/>
        <v>0</v>
      </c>
      <c r="C7" s="19">
        <f t="shared" si="1"/>
        <v>0</v>
      </c>
      <c r="D7" s="4">
        <v>0</v>
      </c>
      <c r="E7" s="19">
        <f t="shared" si="2"/>
        <v>0</v>
      </c>
      <c r="F7" s="4">
        <v>0</v>
      </c>
      <c r="G7" s="19">
        <f t="shared" si="3"/>
        <v>0</v>
      </c>
      <c r="H7" s="4">
        <v>0</v>
      </c>
      <c r="I7" s="19">
        <f t="shared" si="4"/>
        <v>0</v>
      </c>
    </row>
    <row r="8" spans="1:9" x14ac:dyDescent="0.25">
      <c r="A8" s="24"/>
      <c r="B8" s="4">
        <f>SUM(B3:B7)</f>
        <v>689.37051599999995</v>
      </c>
      <c r="C8" s="19">
        <f t="shared" si="1"/>
        <v>0.99999929791070408</v>
      </c>
      <c r="D8" s="4">
        <f>SUM(D3:D7)</f>
        <v>149.37832</v>
      </c>
      <c r="E8" s="19">
        <f t="shared" si="2"/>
        <v>1.0000021422163907</v>
      </c>
      <c r="F8" s="4">
        <f>SUM(F3:F7)</f>
        <v>320.27512200000001</v>
      </c>
      <c r="G8" s="19">
        <f t="shared" si="3"/>
        <v>1.0000003809226448</v>
      </c>
      <c r="H8" s="4">
        <f>SUM(H3:H7)</f>
        <v>219.717074</v>
      </c>
      <c r="I8" s="26">
        <f t="shared" si="4"/>
        <v>1.0000003367968795</v>
      </c>
    </row>
    <row r="10" spans="1:9" x14ac:dyDescent="0.25">
      <c r="A10" s="1" t="s">
        <v>67</v>
      </c>
      <c r="B10" s="1" t="s">
        <v>65</v>
      </c>
    </row>
    <row r="11" spans="1:9" x14ac:dyDescent="0.25">
      <c r="A11" s="1" t="s">
        <v>61</v>
      </c>
      <c r="B11" s="4">
        <v>689.37049999999999</v>
      </c>
    </row>
    <row r="12" spans="1:9" x14ac:dyDescent="0.25">
      <c r="A12" s="1" t="s">
        <v>62</v>
      </c>
      <c r="B12" s="4">
        <v>149.37832</v>
      </c>
    </row>
    <row r="13" spans="1:9" x14ac:dyDescent="0.25">
      <c r="A13" s="1" t="s">
        <v>63</v>
      </c>
      <c r="B13" s="4">
        <v>320.27512200000001</v>
      </c>
    </row>
    <row r="14" spans="1:9" x14ac:dyDescent="0.25">
      <c r="A14" s="1" t="s">
        <v>64</v>
      </c>
      <c r="B14" s="4">
        <v>219.717074</v>
      </c>
    </row>
    <row r="17" spans="1:1" x14ac:dyDescent="0.25">
      <c r="A17" t="s">
        <v>105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29" sqref="C29"/>
    </sheetView>
  </sheetViews>
  <sheetFormatPr defaultRowHeight="15" x14ac:dyDescent="0.25"/>
  <cols>
    <col min="1" max="1" width="24.140625" bestFit="1" customWidth="1"/>
    <col min="2" max="2" width="12.85546875" bestFit="1" customWidth="1"/>
    <col min="3" max="3" width="13.85546875" bestFit="1" customWidth="1"/>
    <col min="4" max="4" width="6.5703125" bestFit="1" customWidth="1"/>
    <col min="5" max="5" width="13.85546875" bestFit="1" customWidth="1"/>
    <col min="7" max="7" width="13.85546875" bestFit="1" customWidth="1"/>
    <col min="9" max="9" width="13.85546875" bestFit="1" customWidth="1"/>
  </cols>
  <sheetData>
    <row r="1" spans="1:9" x14ac:dyDescent="0.25">
      <c r="B1" s="83" t="s">
        <v>31</v>
      </c>
      <c r="C1" s="83"/>
      <c r="D1" s="83" t="s">
        <v>32</v>
      </c>
      <c r="E1" s="83"/>
      <c r="F1" s="83" t="s">
        <v>33</v>
      </c>
      <c r="G1" s="83"/>
      <c r="H1" s="83" t="s">
        <v>34</v>
      </c>
      <c r="I1" s="83"/>
    </row>
    <row r="2" spans="1:9" x14ac:dyDescent="0.25">
      <c r="A2" s="1" t="s">
        <v>106</v>
      </c>
      <c r="B2" s="22" t="s">
        <v>29</v>
      </c>
      <c r="C2" s="22" t="s">
        <v>66</v>
      </c>
      <c r="D2" s="22" t="s">
        <v>29</v>
      </c>
      <c r="E2" s="22" t="s">
        <v>66</v>
      </c>
      <c r="F2" s="22" t="s">
        <v>29</v>
      </c>
      <c r="G2" s="22" t="s">
        <v>66</v>
      </c>
      <c r="H2" s="22" t="s">
        <v>29</v>
      </c>
      <c r="I2" s="22" t="s">
        <v>66</v>
      </c>
    </row>
    <row r="3" spans="1:9" x14ac:dyDescent="0.25">
      <c r="A3" s="1" t="s">
        <v>107</v>
      </c>
      <c r="B3" s="4">
        <f>D3+F3+H3</f>
        <v>46.860839999999996</v>
      </c>
      <c r="C3" s="19">
        <f>B3/689.371</f>
        <v>6.7976227604584466E-2</v>
      </c>
      <c r="D3" s="4">
        <v>0</v>
      </c>
      <c r="E3" s="19">
        <f>D3/149.378</f>
        <v>0</v>
      </c>
      <c r="F3" s="4">
        <v>9.4809149999999995</v>
      </c>
      <c r="G3" s="19">
        <f>F3/320.275</f>
        <v>2.9602419795488253E-2</v>
      </c>
      <c r="H3" s="4">
        <v>37.379925</v>
      </c>
      <c r="I3" s="19">
        <f>H3/219.717</f>
        <v>0.17012759595297586</v>
      </c>
    </row>
    <row r="4" spans="1:9" x14ac:dyDescent="0.25">
      <c r="A4" s="1" t="s">
        <v>108</v>
      </c>
      <c r="B4" s="4">
        <f t="shared" ref="B4:B6" si="0">D4+F4+H4</f>
        <v>47.527132999999999</v>
      </c>
      <c r="C4" s="19">
        <f t="shared" ref="C4:C7" si="1">B4/689.371</f>
        <v>6.894275071043024E-2</v>
      </c>
      <c r="D4" s="4">
        <v>14.980247</v>
      </c>
      <c r="E4" s="19">
        <f t="shared" ref="E4:E7" si="2">D4/149.378</f>
        <v>0.10028415830979127</v>
      </c>
      <c r="F4" s="4">
        <v>26.720162999999999</v>
      </c>
      <c r="G4" s="19">
        <f t="shared" ref="G4:G7" si="3">F4/320.275</f>
        <v>8.342881273905238E-2</v>
      </c>
      <c r="H4" s="4">
        <v>5.8267230000000003</v>
      </c>
      <c r="I4" s="19">
        <f t="shared" ref="I4:I7" si="4">H4/219.717</f>
        <v>2.6519217903029805E-2</v>
      </c>
    </row>
    <row r="5" spans="1:9" x14ac:dyDescent="0.25">
      <c r="A5" s="1" t="s">
        <v>109</v>
      </c>
      <c r="B5" s="4">
        <f t="shared" si="0"/>
        <v>14.396003</v>
      </c>
      <c r="C5" s="19">
        <f t="shared" si="1"/>
        <v>2.0882809111494392E-2</v>
      </c>
      <c r="D5" s="4">
        <v>2.2939430000000001</v>
      </c>
      <c r="E5" s="19">
        <f t="shared" si="2"/>
        <v>1.5356632168056878E-2</v>
      </c>
      <c r="F5" s="4">
        <v>12.093009</v>
      </c>
      <c r="G5" s="19">
        <f t="shared" si="3"/>
        <v>3.775820466786356E-2</v>
      </c>
      <c r="H5" s="4">
        <v>9.051E-3</v>
      </c>
      <c r="I5" s="19">
        <f t="shared" si="4"/>
        <v>4.1193899425169648E-5</v>
      </c>
    </row>
    <row r="6" spans="1:9" x14ac:dyDescent="0.25">
      <c r="A6" s="1" t="s">
        <v>111</v>
      </c>
      <c r="B6" s="4">
        <f t="shared" si="0"/>
        <v>36.154752999999999</v>
      </c>
      <c r="C6" s="19">
        <f t="shared" si="1"/>
        <v>5.2446002225216899E-2</v>
      </c>
      <c r="D6" s="27">
        <v>17.338153999999999</v>
      </c>
      <c r="E6" s="19">
        <f t="shared" si="2"/>
        <v>0.11606899275663084</v>
      </c>
      <c r="F6" s="27">
        <v>15.099529</v>
      </c>
      <c r="G6" s="19">
        <f t="shared" si="3"/>
        <v>4.7145512450238083E-2</v>
      </c>
      <c r="H6" s="27">
        <v>3.7170700000000001</v>
      </c>
      <c r="I6" s="19">
        <f t="shared" si="4"/>
        <v>1.6917534828893532E-2</v>
      </c>
    </row>
    <row r="7" spans="1:9" x14ac:dyDescent="0.25">
      <c r="A7" s="24"/>
      <c r="B7" s="4">
        <f>SUM(B3:B6)</f>
        <v>144.938729</v>
      </c>
      <c r="C7" s="28">
        <f t="shared" si="1"/>
        <v>0.210247789651726</v>
      </c>
      <c r="D7" s="4">
        <f>SUM(D3:D6)</f>
        <v>34.612344</v>
      </c>
      <c r="E7" s="19">
        <f t="shared" si="2"/>
        <v>0.23170978323447899</v>
      </c>
      <c r="F7" s="4">
        <f>SUM(F3:F6)</f>
        <v>63.393615999999994</v>
      </c>
      <c r="G7" s="19">
        <f t="shared" si="3"/>
        <v>0.19793494965264224</v>
      </c>
      <c r="H7" s="4">
        <f>SUM(H3:H6)</f>
        <v>46.932769</v>
      </c>
      <c r="I7" s="19">
        <f t="shared" si="4"/>
        <v>0.21360554258432438</v>
      </c>
    </row>
    <row r="8" spans="1:9" x14ac:dyDescent="0.25">
      <c r="A8" s="24"/>
      <c r="B8" s="25"/>
      <c r="C8" s="30"/>
      <c r="D8" s="25"/>
      <c r="E8" s="29"/>
      <c r="F8" s="25"/>
      <c r="G8" s="29"/>
      <c r="H8" s="25"/>
      <c r="I8" s="29"/>
    </row>
    <row r="10" spans="1:9" x14ac:dyDescent="0.25">
      <c r="A10" s="1" t="s">
        <v>67</v>
      </c>
      <c r="B10" s="1" t="s">
        <v>65</v>
      </c>
    </row>
    <row r="11" spans="1:9" x14ac:dyDescent="0.25">
      <c r="A11" s="1" t="s">
        <v>61</v>
      </c>
      <c r="B11" s="4">
        <v>689.37049999999999</v>
      </c>
    </row>
    <row r="12" spans="1:9" x14ac:dyDescent="0.25">
      <c r="A12" s="1" t="s">
        <v>62</v>
      </c>
      <c r="B12" s="4">
        <v>149.37832</v>
      </c>
    </row>
    <row r="13" spans="1:9" x14ac:dyDescent="0.25">
      <c r="A13" s="1" t="s">
        <v>63</v>
      </c>
      <c r="B13" s="4">
        <v>320.27512200000001</v>
      </c>
    </row>
    <row r="14" spans="1:9" x14ac:dyDescent="0.25">
      <c r="A14" s="1" t="s">
        <v>64</v>
      </c>
      <c r="B14" s="4">
        <v>219.717074</v>
      </c>
    </row>
    <row r="16" spans="1:9" x14ac:dyDescent="0.25">
      <c r="A16" t="s">
        <v>110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Soils</vt:lpstr>
      <vt:lpstr>Vegetation</vt:lpstr>
      <vt:lpstr>Roads</vt:lpstr>
      <vt:lpstr>TimberHarvest - Method</vt:lpstr>
      <vt:lpstr>TimberHarvest - Year</vt:lpstr>
      <vt:lpstr>Ownership</vt:lpstr>
      <vt:lpstr>LandUse</vt:lpstr>
      <vt:lpstr>Fire Threat</vt:lpstr>
      <vt:lpstr>Fire History</vt:lpstr>
    </vt:vector>
  </TitlesOfParts>
  <Company>PSMFC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bholycross</dc:creator>
  <cp:lastModifiedBy>bholycross</cp:lastModifiedBy>
  <dcterms:created xsi:type="dcterms:W3CDTF">2012-06-13T22:15:24Z</dcterms:created>
  <dcterms:modified xsi:type="dcterms:W3CDTF">2012-08-14T16:52:32Z</dcterms:modified>
</cp:coreProperties>
</file>